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15"/>
  <workbookPr defaultThemeVersion="124226"/>
  <xr:revisionPtr revIDLastSave="0" documentId="8_{A3952C6F-F87A-4E53-A967-77106D1CEAEF}" xr6:coauthVersionLast="47" xr6:coauthVersionMax="47" xr10:uidLastSave="{00000000-0000-0000-0000-000000000000}"/>
  <bookViews>
    <workbookView xWindow="240" yWindow="15" windowWidth="16095" windowHeight="9660" firstSheet="4" activeTab="4" xr2:uid="{00000000-000D-0000-FFFF-FFFF00000000}"/>
  </bookViews>
  <sheets>
    <sheet name="Read Me" sheetId="1" r:id="rId1"/>
    <sheet name="Survey_Responses" sheetId="2" r:id="rId2"/>
    <sheet name="Referral_Deals" sheetId="3" r:id="rId3"/>
    <sheet name="NPS_Summary" sheetId="4" r:id="rId4"/>
    <sheet name="Referral_Metrics" sheetId="5" r:id="rId5"/>
    <sheet name="Dashboard" sheetId="6" r:id="rId6"/>
    <sheet name="Service_Recovery_Log" sheetId="7" r:id="rId7"/>
    <sheet name="Post_Close_Engagements" sheetId="8" r:id="rId8"/>
    <sheet name="Promoter_Referral_Program" sheetId="9" r:id="rId9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" i="5" l="1"/>
  <c r="F7" i="5" s="1"/>
  <c r="B6" i="5"/>
  <c r="B5" i="5"/>
  <c r="F5" i="5" s="1"/>
  <c r="B4" i="5"/>
  <c r="L3" i="5"/>
  <c r="B3" i="5"/>
  <c r="F3" i="5" s="1"/>
  <c r="L2" i="5"/>
  <c r="L9" i="5" s="1"/>
  <c r="B4" i="6" s="1"/>
  <c r="B2" i="5"/>
  <c r="B7" i="4"/>
  <c r="B6" i="4"/>
  <c r="F6" i="4" s="1"/>
  <c r="J5" i="4"/>
  <c r="B5" i="4"/>
  <c r="E5" i="4" s="1"/>
  <c r="J4" i="4"/>
  <c r="B4" i="4"/>
  <c r="F4" i="4" s="1"/>
  <c r="J3" i="4"/>
  <c r="B3" i="4"/>
  <c r="E3" i="4" s="1"/>
  <c r="J2" i="4"/>
  <c r="J6" i="4" s="1"/>
  <c r="B1" i="6" s="1"/>
  <c r="B2" i="4"/>
  <c r="F2" i="4" l="1"/>
  <c r="E2" i="4"/>
  <c r="C2" i="4"/>
  <c r="F7" i="4"/>
  <c r="E7" i="4"/>
  <c r="C7" i="4"/>
  <c r="F2" i="5"/>
  <c r="C2" i="5"/>
  <c r="F4" i="5"/>
  <c r="C4" i="5"/>
  <c r="F6" i="5"/>
  <c r="C6" i="5"/>
  <c r="L5" i="5"/>
  <c r="C4" i="4"/>
  <c r="E4" i="4"/>
  <c r="D5" i="4"/>
  <c r="H5" i="5" s="1"/>
  <c r="F5" i="4"/>
  <c r="C6" i="4"/>
  <c r="E6" i="4"/>
  <c r="D7" i="4"/>
  <c r="H7" i="5" s="1"/>
  <c r="I7" i="5" s="1"/>
  <c r="D2" i="5"/>
  <c r="G2" i="5" s="1"/>
  <c r="C3" i="5"/>
  <c r="D4" i="5"/>
  <c r="G4" i="5" s="1"/>
  <c r="L4" i="5"/>
  <c r="C5" i="5"/>
  <c r="D6" i="5"/>
  <c r="G6" i="5" s="1"/>
  <c r="C7" i="5"/>
  <c r="D3" i="4"/>
  <c r="H3" i="5" s="1"/>
  <c r="I3" i="5" s="1"/>
  <c r="F3" i="4"/>
  <c r="D2" i="4"/>
  <c r="H2" i="5" s="1"/>
  <c r="I2" i="5" s="1"/>
  <c r="C3" i="4"/>
  <c r="G3" i="4" s="1"/>
  <c r="D4" i="4"/>
  <c r="H4" i="5" s="1"/>
  <c r="I4" i="5" s="1"/>
  <c r="C5" i="4"/>
  <c r="G5" i="4" s="1"/>
  <c r="D6" i="4"/>
  <c r="H6" i="5" s="1"/>
  <c r="I6" i="5" s="1"/>
  <c r="D3" i="5"/>
  <c r="G3" i="5" s="1"/>
  <c r="D5" i="5"/>
  <c r="G5" i="5" s="1"/>
  <c r="D7" i="5"/>
  <c r="G7" i="5" s="1"/>
  <c r="L7" i="5"/>
  <c r="L6" i="5" l="1"/>
  <c r="B2" i="6" s="1"/>
  <c r="E7" i="5"/>
  <c r="E5" i="5"/>
  <c r="E4" i="5"/>
  <c r="G7" i="4"/>
  <c r="E2" i="5"/>
  <c r="E3" i="5"/>
  <c r="G6" i="4"/>
  <c r="I5" i="5"/>
  <c r="G4" i="4"/>
  <c r="L8" i="5"/>
  <c r="B3" i="6" s="1"/>
  <c r="E6" i="5"/>
  <c r="G2" i="4"/>
</calcChain>
</file>

<file path=xl/sharedStrings.xml><?xml version="1.0" encoding="utf-8"?>
<sst xmlns="http://schemas.openxmlformats.org/spreadsheetml/2006/main" count="930" uniqueCount="413">
  <si>
    <t>How to use this workbook:</t>
  </si>
  <si>
    <t>Enter new survey responses in 'Survey_Responses' (one row per closed deal).</t>
  </si>
  <si>
    <t>Track referrals in 'Referral_Deals' (one row per referral).</t>
  </si>
  <si>
    <t>'NPS_Summary' and 'Referral_Metrics' calculate KPIs by month automatically.</t>
  </si>
  <si>
    <t>The Dashboard pulls key KPIs, a 6‑month NPS trend line, and referral conversion KPIs.</t>
  </si>
  <si>
    <t>To extend the range, copy down formulas to include new rows or convert data ranges to 'Tables'.</t>
  </si>
  <si>
    <t>NPS Definition: %Promoters (9-10) – %Detractors (0-6). Passives (7-8) are neutral.</t>
  </si>
  <si>
    <t>Referral Velocity: Referrals generated per promoter (month‑over‑month).</t>
  </si>
  <si>
    <t>Strategic Uses: Identify service gaps, design referral rewards, forecast revenue from happy clients.</t>
  </si>
  <si>
    <t>Powered by Retyn</t>
  </si>
  <si>
    <t>Ready to scale your client experiences?</t>
  </si>
  <si>
    <t>Visit www.retyn.ai to learn more.</t>
  </si>
  <si>
    <t>Survey_ID</t>
  </si>
  <si>
    <t>Closing_Date</t>
  </si>
  <si>
    <t>Client_Name</t>
  </si>
  <si>
    <t>Property_Type</t>
  </si>
  <si>
    <t>City</t>
  </si>
  <si>
    <t>Agent_Name</t>
  </si>
  <si>
    <t>NPS_Score</t>
  </si>
  <si>
    <t>Satisfaction_1to5</t>
  </si>
  <si>
    <t>Would_Refer</t>
  </si>
  <si>
    <t>Referral_Intent_0to10</t>
  </si>
  <si>
    <t>Key_Touchpoint</t>
  </si>
  <si>
    <t>Comment</t>
  </si>
  <si>
    <t>Follow_Up_Action</t>
  </si>
  <si>
    <t>Response_Time_Hours</t>
  </si>
  <si>
    <t>SRV-1001</t>
  </si>
  <si>
    <t>Sophia Bennett</t>
  </si>
  <si>
    <t>Luxury Home</t>
  </si>
  <si>
    <t>Atlanta, GA</t>
  </si>
  <si>
    <t>Ava Thompson</t>
  </si>
  <si>
    <t>Yes</t>
  </si>
  <si>
    <t>Inspection</t>
  </si>
  <si>
    <t>Loved the quick responses and transparency.</t>
  </si>
  <si>
    <t>Schedule service recovery call</t>
  </si>
  <si>
    <t>SRV-1002</t>
  </si>
  <si>
    <t>Ethan Ramirez</t>
  </si>
  <si>
    <t>Phoenix, AZ</t>
  </si>
  <si>
    <t>No</t>
  </si>
  <si>
    <t>Financing</t>
  </si>
  <si>
    <t>Appraisal delays caused stress; team handled it well.</t>
  </si>
  <si>
    <t>SRV-1003</t>
  </si>
  <si>
    <t>Olivia Chen</t>
  </si>
  <si>
    <t>Multi-Family</t>
  </si>
  <si>
    <t>Denver, CO</t>
  </si>
  <si>
    <t>Liam Patel</t>
  </si>
  <si>
    <t>Closing day felt rushed—more guidance needed.</t>
  </si>
  <si>
    <t>Share moving checklist</t>
  </si>
  <si>
    <t>SRV-1004</t>
  </si>
  <si>
    <t>Noah Davis</t>
  </si>
  <si>
    <t>Condo</t>
  </si>
  <si>
    <t>Miami, FL</t>
  </si>
  <si>
    <t>Mia Johnson</t>
  </si>
  <si>
    <t>Closing</t>
  </si>
  <si>
    <t>Agent was proactive and clear about next steps.</t>
  </si>
  <si>
    <t>Send thank-you note + review link</t>
  </si>
  <si>
    <t>SRV-1005</t>
  </si>
  <si>
    <t>Isabella Moore</t>
  </si>
  <si>
    <t>Townhouse</t>
  </si>
  <si>
    <t>Unexpected repair negotiation took long.</t>
  </si>
  <si>
    <t>Send home maintenance calendar</t>
  </si>
  <si>
    <t>SRV-1006</t>
  </si>
  <si>
    <t>Liam Walker</t>
  </si>
  <si>
    <t>Single-Family</t>
  </si>
  <si>
    <t>Showings</t>
  </si>
  <si>
    <t>Great mortgage guidance saved us money.</t>
  </si>
  <si>
    <t>Offer HOA cost breakdown guide</t>
  </si>
  <si>
    <t>SRV-1007</t>
  </si>
  <si>
    <t>Ava Robinson</t>
  </si>
  <si>
    <t>Communication gaps between lender and agent.</t>
  </si>
  <si>
    <t>Assign post‑closing check-in call</t>
  </si>
  <si>
    <t>SRV-1008</t>
  </si>
  <si>
    <t>Jackson Lee</t>
  </si>
  <si>
    <t>Seattle, WA</t>
  </si>
  <si>
    <t>Communication</t>
  </si>
  <si>
    <t>Inspection issues resolved quickly—appreciated.</t>
  </si>
  <si>
    <t>Provide local amenities guide</t>
  </si>
  <si>
    <t>SRV-1009</t>
  </si>
  <si>
    <t>Grace Thompson</t>
  </si>
  <si>
    <t>Would have liked more neighborhood insights.</t>
  </si>
  <si>
    <t>SRV-1010</t>
  </si>
  <si>
    <t>Caleb Mitchell</t>
  </si>
  <si>
    <t>Austin, TX</t>
  </si>
  <si>
    <t>Noah Williams</t>
  </si>
  <si>
    <t>Smooth process from offer to close.</t>
  </si>
  <si>
    <t>Invite to referral rewards program</t>
  </si>
  <si>
    <t>SRV-1011</t>
  </si>
  <si>
    <t>Harper Anderson</t>
  </si>
  <si>
    <t>Digital docs were convenient, minimal paperwork.</t>
  </si>
  <si>
    <t>SRV-1012</t>
  </si>
  <si>
    <t>Elijah Johnson</t>
  </si>
  <si>
    <t>Scheduling showings was flexible and easy.</t>
  </si>
  <si>
    <t>SRV-1013</t>
  </si>
  <si>
    <t>Mia Carter</t>
  </si>
  <si>
    <t>Felt pressured on decision timeline.</t>
  </si>
  <si>
    <t>SRV-1014</t>
  </si>
  <si>
    <t>Lucas Wright</t>
  </si>
  <si>
    <t>Post‑closing follow‑up was thoughtful.</t>
  </si>
  <si>
    <t>SRV-1015</t>
  </si>
  <si>
    <t>Amelia Scott</t>
  </si>
  <si>
    <t>Confusion about HOA fees early on.</t>
  </si>
  <si>
    <t>SRV-1016</t>
  </si>
  <si>
    <t>Benjamin Young</t>
  </si>
  <si>
    <t>Great staging and marketing work.</t>
  </si>
  <si>
    <t>SRV-1017</t>
  </si>
  <si>
    <t>Natalie Perez</t>
  </si>
  <si>
    <t>Title company experience could be better.</t>
  </si>
  <si>
    <t>SRV-1018</t>
  </si>
  <si>
    <t>Owen Flores</t>
  </si>
  <si>
    <t>Agent availability on weekends was excellent.</t>
  </si>
  <si>
    <t>SRV-1019</t>
  </si>
  <si>
    <t>Scarlett Green</t>
  </si>
  <si>
    <t>Professional and trustworthy throughout.</t>
  </si>
  <si>
    <t>SRV-1020</t>
  </si>
  <si>
    <t>Henry Collins</t>
  </si>
  <si>
    <t>Would recommend to friends.</t>
  </si>
  <si>
    <t>Referral_ID</t>
  </si>
  <si>
    <t>Referral_Source_Client</t>
  </si>
  <si>
    <t>Referral_Source_NPS_Score</t>
  </si>
  <si>
    <t>Referral_Date</t>
  </si>
  <si>
    <t>Stage</t>
  </si>
  <si>
    <t>Converted</t>
  </si>
  <si>
    <t>Conversion_Date</t>
  </si>
  <si>
    <t>Deal_Size_USD</t>
  </si>
  <si>
    <t>Commission_USD</t>
  </si>
  <si>
    <t>Expected_Probability</t>
  </si>
  <si>
    <t>Expected_Value_USD</t>
  </si>
  <si>
    <t>REF-2001</t>
  </si>
  <si>
    <t>Contacted</t>
  </si>
  <si>
    <t>REF-2002</t>
  </si>
  <si>
    <t>Qualified</t>
  </si>
  <si>
    <t>REF-2003</t>
  </si>
  <si>
    <t>New</t>
  </si>
  <si>
    <t>REF-2004</t>
  </si>
  <si>
    <t>REF-2005</t>
  </si>
  <si>
    <t>Closed Won</t>
  </si>
  <si>
    <t>REF-2006</t>
  </si>
  <si>
    <t>REF-2007</t>
  </si>
  <si>
    <t>REF-2008</t>
  </si>
  <si>
    <t>REF-2009</t>
  </si>
  <si>
    <t>REF-2010</t>
  </si>
  <si>
    <t>REF-2011</t>
  </si>
  <si>
    <t>REF-2012</t>
  </si>
  <si>
    <t>REF-2013</t>
  </si>
  <si>
    <t>REF-2014</t>
  </si>
  <si>
    <t>REF-2015</t>
  </si>
  <si>
    <t>REF-2016</t>
  </si>
  <si>
    <t>REF-2017</t>
  </si>
  <si>
    <t>REF-2018</t>
  </si>
  <si>
    <t>REF-2019</t>
  </si>
  <si>
    <t>REF-2020</t>
  </si>
  <si>
    <t>Month_Start</t>
  </si>
  <si>
    <t>Month_End</t>
  </si>
  <si>
    <t>Total_Surveys</t>
  </si>
  <si>
    <t>Promoters</t>
  </si>
  <si>
    <t>Detractors</t>
  </si>
  <si>
    <t>Passives</t>
  </si>
  <si>
    <t>NPS</t>
  </si>
  <si>
    <t>Overall KPIs</t>
  </si>
  <si>
    <t>Total Surveys</t>
  </si>
  <si>
    <t>Overall NPS</t>
  </si>
  <si>
    <t>Referrals</t>
  </si>
  <si>
    <t>Conversion_Rate</t>
  </si>
  <si>
    <t>Converted_Deal_Value_USD</t>
  </si>
  <si>
    <t>Avg_Deal_Size_USD</t>
  </si>
  <si>
    <t>Referrals_per_Promoter</t>
  </si>
  <si>
    <t>Rolling 90-day KPIs</t>
  </si>
  <si>
    <t>Start (TODAY()-90)</t>
  </si>
  <si>
    <t>End (TODAY())</t>
  </si>
  <si>
    <t>Referrals (90d)</t>
  </si>
  <si>
    <t>Converted (90d)</t>
  </si>
  <si>
    <t>Conversion Rate (90d)</t>
  </si>
  <si>
    <t>Converted Value (90d)</t>
  </si>
  <si>
    <t>Avg Deal Size (90d)</t>
  </si>
  <si>
    <t>Forecast (Open, 90d Expected Value)</t>
  </si>
  <si>
    <t>Last 90d Conversion Rate</t>
  </si>
  <si>
    <t>Last 90d Avg Referral Deal Size</t>
  </si>
  <si>
    <t>Last 90d Forecast (Open referrals)</t>
  </si>
  <si>
    <t>Case_ID</t>
  </si>
  <si>
    <t>Open_Date</t>
  </si>
  <si>
    <t>Close_Date</t>
  </si>
  <si>
    <t>Issue_Category</t>
  </si>
  <si>
    <t>Severity</t>
  </si>
  <si>
    <t>Detractor_NPS</t>
  </si>
  <si>
    <t>Resolution_Action</t>
  </si>
  <si>
    <t>Owner</t>
  </si>
  <si>
    <t>SLA_Hours</t>
  </si>
  <si>
    <t>Actual_Resolution_Hours</t>
  </si>
  <si>
    <t>Status</t>
  </si>
  <si>
    <t>Gesture_Cost_USD</t>
  </si>
  <si>
    <t>Satisfaction_After</t>
  </si>
  <si>
    <t>NPS_After</t>
  </si>
  <si>
    <t>Retained</t>
  </si>
  <si>
    <t>Notes</t>
  </si>
  <si>
    <t>Root_Cause</t>
  </si>
  <si>
    <t>SR-3001</t>
  </si>
  <si>
    <t>Communication gap</t>
  </si>
  <si>
    <t>Medium</t>
  </si>
  <si>
    <t>Assigned senior coordinator + weekly updates</t>
  </si>
  <si>
    <t>CX Lead</t>
  </si>
  <si>
    <t>Closed</t>
  </si>
  <si>
    <t>Client felt out of loop during appraisal</t>
  </si>
  <si>
    <t>SR-3002</t>
  </si>
  <si>
    <t>Appraisal delay</t>
  </si>
  <si>
    <t>High</t>
  </si>
  <si>
    <t>Escalated with lender manager</t>
  </si>
  <si>
    <t>Lender Liaison</t>
  </si>
  <si>
    <t>Delay addressed, new timeline agreed</t>
  </si>
  <si>
    <t>Lender delay</t>
  </si>
  <si>
    <t>SR-3003</t>
  </si>
  <si>
    <t>Title/HOA confusion</t>
  </si>
  <si>
    <t>Provide HOA fee breakdown guide</t>
  </si>
  <si>
    <t>Ops Manager</t>
  </si>
  <si>
    <t>Fees clarified before signing</t>
  </si>
  <si>
    <t>Title/HOA</t>
  </si>
  <si>
    <t>SR-3004</t>
  </si>
  <si>
    <t>Closing‑day logistics</t>
  </si>
  <si>
    <t>On‑site closing concierge</t>
  </si>
  <si>
    <t>Agent</t>
  </si>
  <si>
    <t>Concierge smoothed last‑minute issues</t>
  </si>
  <si>
    <t>Scheduling</t>
  </si>
  <si>
    <t>SR-3005</t>
  </si>
  <si>
    <t>Inspection repairs</t>
  </si>
  <si>
    <t>Contractor shortlist + negotiate credit</t>
  </si>
  <si>
    <t>Credit accepted by seller</t>
  </si>
  <si>
    <t>SR-3006</t>
  </si>
  <si>
    <t>Mortgage process confusion</t>
  </si>
  <si>
    <t>Mortgage 1:1 explainer call</t>
  </si>
  <si>
    <t>Walkthrough reduced anxiety</t>
  </si>
  <si>
    <t>Expectations</t>
  </si>
  <si>
    <t>SR-3007</t>
  </si>
  <si>
    <t>Daily SMS status + single POC</t>
  </si>
  <si>
    <t>Single thread solved channel overload</t>
  </si>
  <si>
    <t>SR-3008</t>
  </si>
  <si>
    <t>Appraisal low</t>
  </si>
  <si>
    <t>Rebuttal package + comps</t>
  </si>
  <si>
    <t>Buyer proceeded but remains lukewarm</t>
  </si>
  <si>
    <t>SR-3009</t>
  </si>
  <si>
    <t>Title payoff delay</t>
  </si>
  <si>
    <t>Direct title partner escalation</t>
  </si>
  <si>
    <t>New closing date confirmed</t>
  </si>
  <si>
    <t>SR-3010</t>
  </si>
  <si>
    <t>Moving checklist + schedule</t>
  </si>
  <si>
    <t>Truck scheduling arranged</t>
  </si>
  <si>
    <t>SR-3011</t>
  </si>
  <si>
    <t>Seller credit + handyman referral</t>
  </si>
  <si>
    <t>Credit covered urgent items</t>
  </si>
  <si>
    <t>SR-3012</t>
  </si>
  <si>
    <t>Weekly recap email template</t>
  </si>
  <si>
    <t>Client liked structured updates</t>
  </si>
  <si>
    <t>SR-3013</t>
  </si>
  <si>
    <t>HOA Q&amp;A call + doc summary</t>
  </si>
  <si>
    <t>HOA clarified pet rules</t>
  </si>
  <si>
    <t>SR-3014</t>
  </si>
  <si>
    <t>Rate‑lock explainer + options</t>
  </si>
  <si>
    <t>Lock secured same day</t>
  </si>
  <si>
    <t>SR-3015</t>
  </si>
  <si>
    <t>Re‑inspection coordination</t>
  </si>
  <si>
    <t>Repairs verified</t>
  </si>
  <si>
    <t>SR-3016</t>
  </si>
  <si>
    <t>Early walk‑through checklist</t>
  </si>
  <si>
    <t>Found minor issues early</t>
  </si>
  <si>
    <t>SR-3017</t>
  </si>
  <si>
    <t>Low</t>
  </si>
  <si>
    <t>(Proactive) Set expectations call</t>
  </si>
  <si>
    <t>Prevented escalation</t>
  </si>
  <si>
    <t>SR-3018</t>
  </si>
  <si>
    <t>Backup AMC order</t>
  </si>
  <si>
    <t>Backup delivered faster</t>
  </si>
  <si>
    <t>SR-3019</t>
  </si>
  <si>
    <t>Title lien surprise</t>
  </si>
  <si>
    <t>Attorney review + payoff plan</t>
  </si>
  <si>
    <t>Cleared lien before close</t>
  </si>
  <si>
    <t>Engagement_ID</t>
  </si>
  <si>
    <t>Day_7_Checkin</t>
  </si>
  <si>
    <t>Day_30_Checkin</t>
  </si>
  <si>
    <t>Home_Maintenance_Guide_Sent</t>
  </si>
  <si>
    <t>Review_Requested</t>
  </si>
  <si>
    <t>Review_Posted</t>
  </si>
  <si>
    <t>Referral_Ask</t>
  </si>
  <si>
    <t>Referral_Outcome</t>
  </si>
  <si>
    <t>Event_Invite</t>
  </si>
  <si>
    <t>Email_Open_Rate_%</t>
  </si>
  <si>
    <t>CSAT_Post_Engagement</t>
  </si>
  <si>
    <t>PC-4001</t>
  </si>
  <si>
    <t>Client 1</t>
  </si>
  <si>
    <t>Done</t>
  </si>
  <si>
    <t>Lead</t>
  </si>
  <si>
    <t>Homeowner 101 Webinar (Mar)</t>
  </si>
  <si>
    <t>Posted 5‑star Google review</t>
  </si>
  <si>
    <t>PC-4002</t>
  </si>
  <si>
    <t>Client 2</t>
  </si>
  <si>
    <t>Pending</t>
  </si>
  <si>
    <t>Summer Maintenance Workshop</t>
  </si>
  <si>
    <t>Review link resent</t>
  </si>
  <si>
    <t>PC-4003</t>
  </si>
  <si>
    <t>Client 3</t>
  </si>
  <si>
    <t>Refi Q&amp;A (Apr)</t>
  </si>
  <si>
    <t>Referral from neighbor HOA</t>
  </si>
  <si>
    <t>PC-4004</t>
  </si>
  <si>
    <t>Client 4</t>
  </si>
  <si>
    <t>None</t>
  </si>
  <si>
    <t>Needs second nudge</t>
  </si>
  <si>
    <t>PC-4005</t>
  </si>
  <si>
    <t>Client 5</t>
  </si>
  <si>
    <t>Booked service appointment</t>
  </si>
  <si>
    <t>PC-4006</t>
  </si>
  <si>
    <t>Client 6</t>
  </si>
  <si>
    <t>Prefers SMS</t>
  </si>
  <si>
    <t>PC-4007</t>
  </si>
  <si>
    <t>Client 7</t>
  </si>
  <si>
    <t>Homeowner 101 Webinar (Apr)</t>
  </si>
  <si>
    <t>Wants local vendor list</t>
  </si>
  <si>
    <t>PC-4008</t>
  </si>
  <si>
    <t>Client 8</t>
  </si>
  <si>
    <t>Low engagement; try call</t>
  </si>
  <si>
    <t>PC-4009</t>
  </si>
  <si>
    <t>Client 9</t>
  </si>
  <si>
    <t>Refi Q&amp;A (May)</t>
  </si>
  <si>
    <t>Posted Zillow review</t>
  </si>
  <si>
    <t>PC-4010</t>
  </si>
  <si>
    <t>Client 10</t>
  </si>
  <si>
    <t>Asked for yard services</t>
  </si>
  <si>
    <t>PC-4011</t>
  </si>
  <si>
    <t>Client 11</t>
  </si>
  <si>
    <t>Gave photo testimonial</t>
  </si>
  <si>
    <t>PC-4012</t>
  </si>
  <si>
    <t>Client 12</t>
  </si>
  <si>
    <t>Will consider review later</t>
  </si>
  <si>
    <t>PC-4013</t>
  </si>
  <si>
    <t>Client 13</t>
  </si>
  <si>
    <t>Homeowner 101 Webinar (May)</t>
  </si>
  <si>
    <t>Referred coworker</t>
  </si>
  <si>
    <t>PC-4014</t>
  </si>
  <si>
    <t>Client 14</t>
  </si>
  <si>
    <t>Add local school guide</t>
  </si>
  <si>
    <t>PC-4015</t>
  </si>
  <si>
    <t>Client 15</t>
  </si>
  <si>
    <t>Refi Q&amp;A (Jun)</t>
  </si>
  <si>
    <t>Ready for video case study</t>
  </si>
  <si>
    <t>PC-4016</t>
  </si>
  <si>
    <t>Client 16</t>
  </si>
  <si>
    <t>Needs HOA intro email</t>
  </si>
  <si>
    <t>PC-4017</t>
  </si>
  <si>
    <t>Client 17</t>
  </si>
  <si>
    <t>Shared agent on Facebook</t>
  </si>
  <si>
    <t>PC-4018</t>
  </si>
  <si>
    <t>Client 18</t>
  </si>
  <si>
    <t>Wants lender re‑intro</t>
  </si>
  <si>
    <t>PC-4019</t>
  </si>
  <si>
    <t>Client 19</t>
  </si>
  <si>
    <t>Homeowner 101 Webinar (Jun)</t>
  </si>
  <si>
    <t>Re‑target with tips email</t>
  </si>
  <si>
    <t>PC-4020</t>
  </si>
  <si>
    <t>Client 20</t>
  </si>
  <si>
    <t>Posted Yelp review</t>
  </si>
  <si>
    <t>Member_ID</t>
  </si>
  <si>
    <t>Enroll_Date</t>
  </si>
  <si>
    <t>Tier</t>
  </si>
  <si>
    <t>Reward_Offered</t>
  </si>
  <si>
    <t>Referrals_This_Qtr</t>
  </si>
  <si>
    <t>Referrals_Converted</t>
  </si>
  <si>
    <t>Avg_Deal_USD</t>
  </si>
  <si>
    <t>Commission_from_Converted_USD</t>
  </si>
  <si>
    <t>Reward_Cost_USD</t>
  </si>
  <si>
    <t>ROI_%</t>
  </si>
  <si>
    <t>Next_Action</t>
  </si>
  <si>
    <t>PR-5001</t>
  </si>
  <si>
    <t>Silver</t>
  </si>
  <si>
    <t>$50 gift card/referral</t>
  </si>
  <si>
    <t>Invite to Gold tier briefing</t>
  </si>
  <si>
    <t>PR-5002</t>
  </si>
  <si>
    <t>Ask for video testimonial</t>
  </si>
  <si>
    <t>PR-5003</t>
  </si>
  <si>
    <t>Gold</t>
  </si>
  <si>
    <t>$100 gift card/referral</t>
  </si>
  <si>
    <t>Offer charity‑match option</t>
  </si>
  <si>
    <t>PR-5004</t>
  </si>
  <si>
    <t>Add “VIP vendor perks”</t>
  </si>
  <si>
    <t>PR-5005</t>
  </si>
  <si>
    <t>Quarterly recognition post</t>
  </si>
  <si>
    <t>PR-5006</t>
  </si>
  <si>
    <t>Bronze</t>
  </si>
  <si>
    <t>$25 gift card/referral</t>
  </si>
  <si>
    <t>Coaching on referral ask</t>
  </si>
  <si>
    <t>PR-5007</t>
  </si>
  <si>
    <t>Send “invite 3, get 1 bonus”</t>
  </si>
  <si>
    <t>PR-5008</t>
  </si>
  <si>
    <t>Feature in newsletter</t>
  </si>
  <si>
    <t>PR-5009</t>
  </si>
  <si>
    <t>Invite to advocate council</t>
  </si>
  <si>
    <t>PR-5010</t>
  </si>
  <si>
    <t>(High) Offer tier upgrade</t>
  </si>
  <si>
    <t>PR-5011</t>
  </si>
  <si>
    <t>Ask for LinkedIn review</t>
  </si>
  <si>
    <t>PR-5012</t>
  </si>
  <si>
    <t>Provide shareable scripts</t>
  </si>
  <si>
    <t>PR-5013</t>
  </si>
  <si>
    <t>Identify warm intros</t>
  </si>
  <si>
    <t>PR-5014</t>
  </si>
  <si>
    <t>Add concierge booking link</t>
  </si>
  <si>
    <t>PR-5015</t>
  </si>
  <si>
    <t>Coach on ideal buyer profile</t>
  </si>
  <si>
    <t>PR-5016</t>
  </si>
  <si>
    <t>Set micro‑goal: 1 intro</t>
  </si>
  <si>
    <t>PR-5017</t>
  </si>
  <si>
    <t>Send story‑based prompts</t>
  </si>
  <si>
    <t>PR-5018</t>
  </si>
  <si>
    <t>Map their sphere of influence</t>
  </si>
  <si>
    <t>PR-5019</t>
  </si>
  <si>
    <t>Add loyalty badge</t>
  </si>
  <si>
    <t>PR-5020</t>
  </si>
  <si>
    <t>Nudge with success stories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</si>
</sst>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0.0%"/>
    <numFmt numFmtId="166" formatCode="\$#,##0"/>
    <numFmt numFmtId="167" formatCode="mm/dd/yy;@"/>
  </numFmts>
  <fonts count="7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8"/>
      <color rgb="FFFFFFFF"/>
      <name val="Calibri"/>
      <scheme val="minor"/>
    </font>
    <font>
      <u/>
      <sz val="11"/>
      <color theme="10"/>
      <name val="Calibri"/>
      <scheme val="minor"/>
    </font>
    <font>
      <sz val="11"/>
      <color rgb="FFFFFFFF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153D6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 tint="-4.9989318521683403E-2"/>
        <bgColor indexed="64"/>
      </patternFill>
    </fill>
  </fills>
  <borders count="3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BFBFBF"/>
      </bottom>
      <diagonal/>
    </border>
    <border>
      <left style="thin">
        <color rgb="FF000000"/>
      </left>
      <right style="thin">
        <color rgb="FF000000"/>
      </right>
      <top style="thin">
        <color rgb="FFCCCCCC"/>
      </top>
      <bottom style="thin">
        <color rgb="FFBFBFBF"/>
      </bottom>
      <diagonal/>
    </border>
    <border>
      <left style="thin">
        <color rgb="FF000000"/>
      </left>
      <right style="thin">
        <color rgb="FF000000"/>
      </right>
      <top style="thin">
        <color rgb="FFCCCCCC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0" tint="-0.249977111117893"/>
      </bottom>
      <diagonal/>
    </border>
    <border>
      <left style="thin">
        <color theme="1"/>
      </left>
      <right style="thin">
        <color theme="1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1"/>
      </left>
      <right style="thin">
        <color theme="1"/>
      </right>
      <top style="thin">
        <color theme="0" tint="-0.249977111117893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0" tint="-0.249977111117893"/>
      </bottom>
      <diagonal/>
    </border>
    <border>
      <left style="thin">
        <color theme="1"/>
      </left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1"/>
      </left>
      <right/>
      <top style="thin">
        <color theme="0" tint="-0.249977111117893"/>
      </top>
      <bottom style="thin">
        <color theme="1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theme="1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1"/>
      </right>
      <top style="thin">
        <color theme="0" tint="-0.249977111117893"/>
      </top>
      <bottom style="thin">
        <color theme="1"/>
      </bottom>
      <diagonal/>
    </border>
    <border>
      <left style="thin">
        <color theme="1"/>
      </left>
      <right style="thin">
        <color rgb="FF000000"/>
      </right>
      <top style="thin">
        <color theme="1"/>
      </top>
      <bottom/>
      <diagonal/>
    </border>
    <border>
      <left style="thin">
        <color rgb="FF000000"/>
      </left>
      <right style="thin">
        <color rgb="FF000000"/>
      </right>
      <top style="thin">
        <color theme="1"/>
      </top>
      <bottom/>
      <diagonal/>
    </border>
    <border>
      <left style="thin">
        <color rgb="FF000000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0" tint="-0.249977111117893"/>
      </bottom>
      <diagonal/>
    </border>
    <border>
      <left style="thin">
        <color theme="1"/>
      </left>
      <right style="thin">
        <color theme="1"/>
      </right>
      <top/>
      <bottom style="thin">
        <color theme="0" tint="-0.249977111117893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/>
      <bottom style="thin">
        <color theme="0" tint="-0.249977111117893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61">
    <xf numFmtId="0" fontId="0" fillId="0" borderId="0" xfId="0"/>
    <xf numFmtId="0" fontId="4" fillId="2" borderId="1" xfId="0" applyFont="1" applyFill="1" applyBorder="1" applyAlignment="1">
      <alignment readingOrder="1"/>
    </xf>
    <xf numFmtId="0" fontId="5" fillId="3" borderId="3" xfId="1" applyFont="1" applyFill="1" applyBorder="1" applyAlignment="1">
      <alignment wrapText="1" readingOrder="1"/>
    </xf>
    <xf numFmtId="0" fontId="6" fillId="2" borderId="1" xfId="0" applyFont="1" applyFill="1" applyBorder="1" applyAlignment="1">
      <alignment readingOrder="1"/>
    </xf>
    <xf numFmtId="0" fontId="0" fillId="0" borderId="0" xfId="0" quotePrefix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6" fillId="2" borderId="5" xfId="0" applyFont="1" applyFill="1" applyBorder="1" applyAlignment="1">
      <alignment horizontal="center" readingOrder="1"/>
    </xf>
    <xf numFmtId="0" fontId="6" fillId="2" borderId="6" xfId="0" applyFont="1" applyFill="1" applyBorder="1" applyAlignment="1">
      <alignment horizontal="center" readingOrder="1"/>
    </xf>
    <xf numFmtId="167" fontId="0" fillId="4" borderId="7" xfId="0" applyNumberFormat="1" applyFill="1" applyBorder="1" applyAlignment="1">
      <alignment horizontal="left"/>
    </xf>
    <xf numFmtId="167" fontId="0" fillId="4" borderId="8" xfId="0" applyNumberFormat="1" applyFill="1" applyBorder="1" applyAlignment="1">
      <alignment horizontal="left"/>
    </xf>
    <xf numFmtId="167" fontId="0" fillId="4" borderId="9" xfId="0" applyNumberFormat="1" applyFill="1" applyBorder="1" applyAlignment="1">
      <alignment horizontal="left"/>
    </xf>
    <xf numFmtId="0" fontId="0" fillId="4" borderId="7" xfId="0" applyFill="1" applyBorder="1" applyAlignment="1">
      <alignment horizontal="left"/>
    </xf>
    <xf numFmtId="0" fontId="0" fillId="4" borderId="8" xfId="0" applyFill="1" applyBorder="1" applyAlignment="1">
      <alignment horizontal="left"/>
    </xf>
    <xf numFmtId="0" fontId="0" fillId="4" borderId="9" xfId="0" applyFill="1" applyBorder="1" applyAlignment="1">
      <alignment horizontal="left"/>
    </xf>
    <xf numFmtId="0" fontId="0" fillId="4" borderId="10" xfId="0" applyFill="1" applyBorder="1" applyAlignment="1">
      <alignment horizontal="left"/>
    </xf>
    <xf numFmtId="0" fontId="0" fillId="4" borderId="11" xfId="0" applyFill="1" applyBorder="1" applyAlignment="1">
      <alignment horizontal="left"/>
    </xf>
    <xf numFmtId="0" fontId="0" fillId="4" borderId="12" xfId="0" applyFill="1" applyBorder="1" applyAlignment="1">
      <alignment horizontal="left"/>
    </xf>
    <xf numFmtId="0" fontId="6" fillId="2" borderId="13" xfId="0" applyFont="1" applyFill="1" applyBorder="1" applyAlignment="1">
      <alignment horizontal="center" readingOrder="1"/>
    </xf>
    <xf numFmtId="0" fontId="0" fillId="4" borderId="14" xfId="0" applyFill="1" applyBorder="1" applyAlignment="1">
      <alignment horizontal="left"/>
    </xf>
    <xf numFmtId="0" fontId="0" fillId="4" borderId="15" xfId="0" applyFill="1" applyBorder="1" applyAlignment="1">
      <alignment horizontal="left"/>
    </xf>
    <xf numFmtId="0" fontId="0" fillId="4" borderId="16" xfId="0" applyFill="1" applyBorder="1" applyAlignment="1">
      <alignment horizontal="left"/>
    </xf>
    <xf numFmtId="0" fontId="6" fillId="2" borderId="17" xfId="0" applyFont="1" applyFill="1" applyBorder="1" applyAlignment="1">
      <alignment horizontal="center" readingOrder="1"/>
    </xf>
    <xf numFmtId="0" fontId="6" fillId="2" borderId="18" xfId="0" applyFont="1" applyFill="1" applyBorder="1" applyAlignment="1">
      <alignment horizontal="center" readingOrder="1"/>
    </xf>
    <xf numFmtId="0" fontId="6" fillId="2" borderId="19" xfId="0" applyFont="1" applyFill="1" applyBorder="1" applyAlignment="1">
      <alignment horizontal="center" readingOrder="1"/>
    </xf>
    <xf numFmtId="0" fontId="6" fillId="2" borderId="20" xfId="0" applyFont="1" applyFill="1" applyBorder="1" applyAlignment="1">
      <alignment horizontal="center" readingOrder="1"/>
    </xf>
    <xf numFmtId="0" fontId="0" fillId="4" borderId="21" xfId="0" applyFill="1" applyBorder="1" applyAlignment="1">
      <alignment horizontal="left"/>
    </xf>
    <xf numFmtId="0" fontId="0" fillId="4" borderId="22" xfId="0" applyFill="1" applyBorder="1" applyAlignment="1">
      <alignment horizontal="left"/>
    </xf>
    <xf numFmtId="0" fontId="6" fillId="2" borderId="23" xfId="0" applyFont="1" applyFill="1" applyBorder="1" applyAlignment="1">
      <alignment horizontal="center" readingOrder="1"/>
    </xf>
    <xf numFmtId="0" fontId="6" fillId="2" borderId="24" xfId="0" applyFont="1" applyFill="1" applyBorder="1" applyAlignment="1">
      <alignment horizontal="center" readingOrder="1"/>
    </xf>
    <xf numFmtId="0" fontId="6" fillId="2" borderId="25" xfId="0" applyFont="1" applyFill="1" applyBorder="1" applyAlignment="1">
      <alignment horizontal="center" readingOrder="1"/>
    </xf>
    <xf numFmtId="0" fontId="0" fillId="4" borderId="8" xfId="0" applyFill="1" applyBorder="1"/>
    <xf numFmtId="0" fontId="0" fillId="4" borderId="9" xfId="0" applyFill="1" applyBorder="1"/>
    <xf numFmtId="0" fontId="0" fillId="4" borderId="21" xfId="0" applyFill="1" applyBorder="1"/>
    <xf numFmtId="0" fontId="0" fillId="4" borderId="27" xfId="0" applyFill="1" applyBorder="1"/>
    <xf numFmtId="0" fontId="0" fillId="4" borderId="22" xfId="0" applyFill="1" applyBorder="1"/>
    <xf numFmtId="0" fontId="0" fillId="4" borderId="7" xfId="0" applyFill="1" applyBorder="1"/>
    <xf numFmtId="167" fontId="0" fillId="4" borderId="11" xfId="0" applyNumberFormat="1" applyFill="1" applyBorder="1" applyAlignment="1">
      <alignment horizontal="left"/>
    </xf>
    <xf numFmtId="167" fontId="0" fillId="4" borderId="12" xfId="0" applyNumberFormat="1" applyFill="1" applyBorder="1" applyAlignment="1">
      <alignment horizontal="left"/>
    </xf>
    <xf numFmtId="165" fontId="0" fillId="4" borderId="28" xfId="0" applyNumberFormat="1" applyFill="1" applyBorder="1" applyAlignment="1">
      <alignment horizontal="left"/>
    </xf>
    <xf numFmtId="166" fontId="0" fillId="4" borderId="8" xfId="0" applyNumberFormat="1" applyFill="1" applyBorder="1" applyAlignment="1">
      <alignment horizontal="left"/>
    </xf>
    <xf numFmtId="166" fontId="0" fillId="4" borderId="9" xfId="0" applyNumberFormat="1" applyFill="1" applyBorder="1" applyAlignment="1">
      <alignment horizontal="left"/>
    </xf>
    <xf numFmtId="0" fontId="6" fillId="2" borderId="26" xfId="0" applyFont="1" applyFill="1" applyBorder="1" applyAlignment="1">
      <alignment horizontal="center" readingOrder="1"/>
    </xf>
    <xf numFmtId="164" fontId="2" fillId="4" borderId="29" xfId="0" applyNumberFormat="1" applyFont="1" applyFill="1" applyBorder="1" applyAlignment="1">
      <alignment horizontal="left"/>
    </xf>
    <xf numFmtId="0" fontId="0" fillId="4" borderId="30" xfId="0" applyFill="1" applyBorder="1" applyAlignment="1">
      <alignment horizontal="left"/>
    </xf>
    <xf numFmtId="0" fontId="0" fillId="4" borderId="27" xfId="0" applyFill="1" applyBorder="1" applyAlignment="1">
      <alignment horizontal="left"/>
    </xf>
    <xf numFmtId="9" fontId="0" fillId="4" borderId="15" xfId="0" applyNumberFormat="1" applyFill="1" applyBorder="1" applyAlignment="1">
      <alignment horizontal="left"/>
    </xf>
    <xf numFmtId="9" fontId="0" fillId="4" borderId="16" xfId="0" applyNumberFormat="1" applyFill="1" applyBorder="1" applyAlignment="1">
      <alignment horizontal="left"/>
    </xf>
    <xf numFmtId="9" fontId="0" fillId="4" borderId="8" xfId="0" applyNumberFormat="1" applyFill="1" applyBorder="1" applyAlignment="1">
      <alignment horizontal="left"/>
    </xf>
    <xf numFmtId="9" fontId="0" fillId="4" borderId="9" xfId="0" applyNumberFormat="1" applyFill="1" applyBorder="1" applyAlignment="1">
      <alignment horizontal="left"/>
    </xf>
    <xf numFmtId="167" fontId="0" fillId="4" borderId="15" xfId="0" applyNumberFormat="1" applyFill="1" applyBorder="1" applyAlignment="1">
      <alignment horizontal="left"/>
    </xf>
    <xf numFmtId="167" fontId="0" fillId="4" borderId="16" xfId="0" applyNumberFormat="1" applyFill="1" applyBorder="1" applyAlignment="1">
      <alignment horizontal="left"/>
    </xf>
    <xf numFmtId="167" fontId="0" fillId="4" borderId="14" xfId="0" applyNumberFormat="1" applyFill="1" applyBorder="1" applyAlignment="1">
      <alignment horizontal="left"/>
    </xf>
    <xf numFmtId="9" fontId="0" fillId="4" borderId="7" xfId="0" applyNumberFormat="1" applyFill="1" applyBorder="1" applyAlignment="1">
      <alignment horizontal="left"/>
    </xf>
    <xf numFmtId="2" fontId="0" fillId="4" borderId="21" xfId="0" applyNumberFormat="1" applyFill="1" applyBorder="1" applyAlignment="1">
      <alignment horizontal="left"/>
    </xf>
    <xf numFmtId="2" fontId="0" fillId="4" borderId="22" xfId="0" applyNumberFormat="1" applyFill="1" applyBorder="1" applyAlignment="1">
      <alignment horizontal="left"/>
    </xf>
    <xf numFmtId="0" fontId="6" fillId="2" borderId="4" xfId="0" applyFont="1" applyFill="1" applyBorder="1" applyAlignment="1">
      <alignment horizontal="center" readingOrder="1"/>
    </xf>
    <xf numFmtId="0" fontId="6" fillId="2" borderId="0" xfId="0" applyFont="1" applyFill="1" applyAlignment="1">
      <alignment horizontal="center" readingOrder="1"/>
    </xf>
    <xf numFmtId="0" fontId="6" fillId="2" borderId="18" xfId="0" applyFont="1" applyFill="1" applyBorder="1" applyAlignment="1">
      <alignment horizontal="center" readingOrder="1"/>
    </xf>
    <xf numFmtId="0" fontId="6" fillId="2" borderId="20" xfId="0" applyFont="1" applyFill="1" applyBorder="1" applyAlignment="1">
      <alignment horizontal="center" readingOrder="1"/>
    </xf>
    <xf numFmtId="0" fontId="1" fillId="3" borderId="2" xfId="0" applyFont="1" applyFill="1" applyBorder="1" applyAlignment="1">
      <alignment wrapText="1" readingOrder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NPS Trend by Month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NPS Trend</c:v>
          </c:tx>
          <c:marker>
            <c:symbol val="circle"/>
            <c:size val="5"/>
          </c:marker>
          <c:cat>
            <c:numRef>
              <c:f>NPS_Summary!$A$2:$A$7</c:f>
              <c:numCache>
                <c:formatCode>mm/dd/yy;@</c:formatCode>
                <c:ptCount val="6"/>
                <c:pt idx="0">
                  <c:v>45689</c:v>
                </c:pt>
                <c:pt idx="1">
                  <c:v>45717</c:v>
                </c:pt>
                <c:pt idx="2">
                  <c:v>45748</c:v>
                </c:pt>
                <c:pt idx="3">
                  <c:v>45778</c:v>
                </c:pt>
                <c:pt idx="4">
                  <c:v>45809</c:v>
                </c:pt>
                <c:pt idx="5">
                  <c:v>45839</c:v>
                </c:pt>
              </c:numCache>
            </c:numRef>
          </c:cat>
          <c:val>
            <c:numRef>
              <c:f>NPS_Summary!$G$2:$G$7</c:f>
              <c:numCache>
                <c:formatCode>General</c:formatCode>
                <c:ptCount val="6"/>
                <c:pt idx="0">
                  <c:v>0</c:v>
                </c:pt>
                <c:pt idx="1">
                  <c:v>-25</c:v>
                </c:pt>
                <c:pt idx="2">
                  <c:v>-100</c:v>
                </c:pt>
                <c:pt idx="3">
                  <c:v>40</c:v>
                </c:pt>
                <c:pt idx="4">
                  <c:v>16.666666666666664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E5-4792-BC2E-39E51122BB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166272"/>
        <c:axId val="61496064"/>
      </c:lineChart>
      <c:dateAx>
        <c:axId val="901662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Month</a:t>
                </a:r>
              </a:p>
            </c:rich>
          </c:tx>
          <c:overlay val="0"/>
        </c:title>
        <c:numFmt formatCode="mm/dd/yy;@" sourceLinked="1"/>
        <c:majorTickMark val="out"/>
        <c:minorTickMark val="none"/>
        <c:tickLblPos val="nextTo"/>
        <c:crossAx val="61496064"/>
        <c:crosses val="autoZero"/>
        <c:auto val="1"/>
        <c:lblOffset val="100"/>
        <c:baseTimeUnit val="months"/>
      </c:dateAx>
      <c:valAx>
        <c:axId val="6149606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NPS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9016627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Referral Conversion Rate by Month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Conversion Rate</c:v>
          </c:tx>
          <c:invertIfNegative val="0"/>
          <c:cat>
            <c:numRef>
              <c:f>Referral_Metrics!$A$2:$A$7</c:f>
              <c:numCache>
                <c:formatCode>mm/dd/yy;@</c:formatCode>
                <c:ptCount val="6"/>
                <c:pt idx="0">
                  <c:v>45689</c:v>
                </c:pt>
                <c:pt idx="1">
                  <c:v>45717</c:v>
                </c:pt>
                <c:pt idx="2">
                  <c:v>45748</c:v>
                </c:pt>
                <c:pt idx="3">
                  <c:v>45778</c:v>
                </c:pt>
                <c:pt idx="4">
                  <c:v>45809</c:v>
                </c:pt>
                <c:pt idx="5">
                  <c:v>45839</c:v>
                </c:pt>
              </c:numCache>
            </c:numRef>
          </c:cat>
          <c:val>
            <c:numRef>
              <c:f>Referral_Metrics!$E$2:$E$7</c:f>
              <c:numCache>
                <c:formatCode>0%</c:formatCode>
                <c:ptCount val="6"/>
                <c:pt idx="0">
                  <c:v>0</c:v>
                </c:pt>
                <c:pt idx="1">
                  <c:v>0.66666666666666663</c:v>
                </c:pt>
                <c:pt idx="2">
                  <c:v>0.33333333333333331</c:v>
                </c:pt>
                <c:pt idx="3">
                  <c:v>0.66666666666666663</c:v>
                </c:pt>
                <c:pt idx="4">
                  <c:v>0.33333333333333331</c:v>
                </c:pt>
                <c:pt idx="5">
                  <c:v>0.8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AE-428A-A856-3F33371E1E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0167296"/>
        <c:axId val="90251840"/>
      </c:barChart>
      <c:dateAx>
        <c:axId val="901672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Month</a:t>
                </a:r>
              </a:p>
            </c:rich>
          </c:tx>
          <c:overlay val="0"/>
        </c:title>
        <c:numFmt formatCode="mm/dd/yy;@" sourceLinked="1"/>
        <c:majorTickMark val="out"/>
        <c:minorTickMark val="none"/>
        <c:tickLblPos val="nextTo"/>
        <c:crossAx val="90251840"/>
        <c:crosses val="autoZero"/>
        <c:auto val="1"/>
        <c:lblOffset val="100"/>
        <c:baseTimeUnit val="months"/>
      </c:dateAx>
      <c:valAx>
        <c:axId val="9025184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Rate</a:t>
                </a:r>
              </a:p>
            </c:rich>
          </c:tx>
          <c:overlay val="0"/>
        </c:title>
        <c:numFmt formatCode="0%" sourceLinked="1"/>
        <c:majorTickMark val="out"/>
        <c:minorTickMark val="none"/>
        <c:tickLblPos val="nextTo"/>
        <c:crossAx val="9016729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Average Referral Deal Size by Month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Avg Deal Size (USD)</c:v>
          </c:tx>
          <c:marker>
            <c:symbol val="diamond"/>
            <c:size val="5"/>
          </c:marker>
          <c:cat>
            <c:numRef>
              <c:f>Referral_Metrics!$A$2:$A$7</c:f>
              <c:numCache>
                <c:formatCode>mm/dd/yy;@</c:formatCode>
                <c:ptCount val="6"/>
                <c:pt idx="0">
                  <c:v>45689</c:v>
                </c:pt>
                <c:pt idx="1">
                  <c:v>45717</c:v>
                </c:pt>
                <c:pt idx="2">
                  <c:v>45748</c:v>
                </c:pt>
                <c:pt idx="3">
                  <c:v>45778</c:v>
                </c:pt>
                <c:pt idx="4">
                  <c:v>45809</c:v>
                </c:pt>
                <c:pt idx="5">
                  <c:v>45839</c:v>
                </c:pt>
              </c:numCache>
            </c:numRef>
          </c:cat>
          <c:val>
            <c:numRef>
              <c:f>Referral_Metrics!$G$2:$G$7</c:f>
              <c:numCache>
                <c:formatCode>General</c:formatCode>
                <c:ptCount val="6"/>
                <c:pt idx="0">
                  <c:v>0</c:v>
                </c:pt>
                <c:pt idx="1">
                  <c:v>17300.170000000002</c:v>
                </c:pt>
                <c:pt idx="2">
                  <c:v>18730.63</c:v>
                </c:pt>
                <c:pt idx="3">
                  <c:v>11673.175000000001</c:v>
                </c:pt>
                <c:pt idx="4">
                  <c:v>21016.78</c:v>
                </c:pt>
                <c:pt idx="5">
                  <c:v>13377.202499999999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92-404E-802F-9A597B6A3B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168320"/>
        <c:axId val="90253568"/>
      </c:lineChart>
      <c:dateAx>
        <c:axId val="901683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Month</a:t>
                </a:r>
              </a:p>
            </c:rich>
          </c:tx>
          <c:overlay val="0"/>
        </c:title>
        <c:numFmt formatCode="mm/dd/yy;@" sourceLinked="1"/>
        <c:majorTickMark val="out"/>
        <c:minorTickMark val="none"/>
        <c:tickLblPos val="nextTo"/>
        <c:crossAx val="90253568"/>
        <c:crosses val="autoZero"/>
        <c:auto val="1"/>
        <c:lblOffset val="100"/>
        <c:baseTimeUnit val="months"/>
      </c:dateAx>
      <c:valAx>
        <c:axId val="9025356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USD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9016832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180975</xdr:rowOff>
    </xdr:from>
    <xdr:to>
      <xdr:col>4</xdr:col>
      <xdr:colOff>0</xdr:colOff>
      <xdr:row>21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600075</xdr:colOff>
      <xdr:row>4</xdr:row>
      <xdr:rowOff>171450</xdr:rowOff>
    </xdr:from>
    <xdr:to>
      <xdr:col>13</xdr:col>
      <xdr:colOff>276225</xdr:colOff>
      <xdr:row>22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500-000003000000}"/>
            </a:ext>
            <a:ext uri="{147F2762-F138-4A5C-976F-8EAC2B608ADB}">
              <a16:predDERef xmlns:a16="http://schemas.microsoft.com/office/drawing/2014/main" pre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304800</xdr:colOff>
      <xdr:row>4</xdr:row>
      <xdr:rowOff>180975</xdr:rowOff>
    </xdr:from>
    <xdr:to>
      <xdr:col>22</xdr:col>
      <xdr:colOff>590550</xdr:colOff>
      <xdr:row>22</xdr:row>
      <xdr:rowOff>9525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500-000004000000}"/>
            </a:ext>
            <a:ext uri="{147F2762-F138-4A5C-976F-8EAC2B608ADB}">
              <a16:predDERef xmlns:a16="http://schemas.microsoft.com/office/drawing/2014/main" pred="{00000000-0008-0000-05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retyn.ai/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4"/>
  <sheetViews>
    <sheetView workbookViewId="0">
      <selection activeCell="A21" sqref="A21"/>
    </sheetView>
  </sheetViews>
  <sheetFormatPr defaultRowHeight="15"/>
  <cols>
    <col min="1" max="1" width="120.7109375" customWidth="1"/>
  </cols>
  <sheetData>
    <row r="1" spans="1:1">
      <c r="A1" s="3" t="s">
        <v>0</v>
      </c>
    </row>
    <row r="2" spans="1:1">
      <c r="A2" t="s">
        <v>1</v>
      </c>
    </row>
    <row r="3" spans="1:1">
      <c r="A3" t="s">
        <v>2</v>
      </c>
    </row>
    <row r="4" spans="1:1">
      <c r="A4" s="4" t="s">
        <v>3</v>
      </c>
    </row>
    <row r="5" spans="1:1">
      <c r="A5" t="s">
        <v>4</v>
      </c>
    </row>
    <row r="6" spans="1:1">
      <c r="A6" t="s">
        <v>5</v>
      </c>
    </row>
    <row r="8" spans="1:1">
      <c r="A8" t="s">
        <v>6</v>
      </c>
    </row>
    <row r="9" spans="1:1">
      <c r="A9" t="s">
        <v>7</v>
      </c>
    </row>
    <row r="10" spans="1:1">
      <c r="A10" t="s">
        <v>8</v>
      </c>
    </row>
    <row r="12" spans="1:1" ht="23.25">
      <c r="A12" s="1" t="s">
        <v>9</v>
      </c>
    </row>
    <row r="13" spans="1:1">
      <c r="A13" s="60" t="s">
        <v>10</v>
      </c>
    </row>
    <row r="14" spans="1:1">
      <c r="A14" s="2" t="s">
        <v>11</v>
      </c>
    </row>
  </sheetData>
  <hyperlinks>
    <hyperlink ref="A14" r:id="rId1" xr:uid="{073765AB-810A-4675-A7C3-F5BF84E4F7B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21"/>
  <sheetViews>
    <sheetView workbookViewId="0">
      <selection activeCell="C37" sqref="C37"/>
    </sheetView>
  </sheetViews>
  <sheetFormatPr defaultRowHeight="15"/>
  <cols>
    <col min="1" max="1" width="10.85546875" customWidth="1"/>
    <col min="2" max="2" width="14" customWidth="1"/>
    <col min="3" max="3" width="17.28515625" customWidth="1"/>
    <col min="4" max="4" width="15.42578125" customWidth="1"/>
    <col min="5" max="6" width="14.7109375" customWidth="1"/>
    <col min="7" max="7" width="10.7109375" customWidth="1"/>
    <col min="8" max="8" width="16.7109375" customWidth="1"/>
    <col min="9" max="9" width="12.7109375" customWidth="1"/>
    <col min="10" max="10" width="20.42578125" customWidth="1"/>
    <col min="11" max="11" width="17.28515625" customWidth="1"/>
    <col min="12" max="12" width="46.28515625" customWidth="1"/>
    <col min="13" max="13" width="32.85546875" customWidth="1"/>
    <col min="14" max="14" width="20.7109375" customWidth="1"/>
  </cols>
  <sheetData>
    <row r="1" spans="1:14" s="6" customFormat="1">
      <c r="A1" s="7" t="s">
        <v>12</v>
      </c>
      <c r="B1" s="8" t="s">
        <v>13</v>
      </c>
      <c r="C1" s="18" t="s">
        <v>14</v>
      </c>
      <c r="D1" s="8" t="s">
        <v>15</v>
      </c>
      <c r="E1" s="18" t="s">
        <v>16</v>
      </c>
      <c r="F1" s="8" t="s">
        <v>17</v>
      </c>
      <c r="G1" s="18" t="s">
        <v>18</v>
      </c>
      <c r="H1" s="8" t="s">
        <v>19</v>
      </c>
      <c r="I1" s="18" t="s">
        <v>20</v>
      </c>
      <c r="J1" s="8" t="s">
        <v>21</v>
      </c>
      <c r="K1" s="18" t="s">
        <v>22</v>
      </c>
      <c r="L1" s="8" t="s">
        <v>23</v>
      </c>
      <c r="M1" s="18" t="s">
        <v>24</v>
      </c>
      <c r="N1" s="8" t="s">
        <v>25</v>
      </c>
    </row>
    <row r="2" spans="1:14" s="5" customFormat="1">
      <c r="A2" s="15" t="s">
        <v>26</v>
      </c>
      <c r="B2" s="9">
        <v>45711</v>
      </c>
      <c r="C2" s="19" t="s">
        <v>27</v>
      </c>
      <c r="D2" s="12" t="s">
        <v>28</v>
      </c>
      <c r="E2" s="19" t="s">
        <v>29</v>
      </c>
      <c r="F2" s="12" t="s">
        <v>30</v>
      </c>
      <c r="G2" s="19">
        <v>7</v>
      </c>
      <c r="H2" s="12">
        <v>5</v>
      </c>
      <c r="I2" s="19" t="s">
        <v>31</v>
      </c>
      <c r="J2" s="12">
        <v>8</v>
      </c>
      <c r="K2" s="19" t="s">
        <v>32</v>
      </c>
      <c r="L2" s="12" t="s">
        <v>33</v>
      </c>
      <c r="M2" s="19" t="s">
        <v>34</v>
      </c>
      <c r="N2" s="12">
        <v>47</v>
      </c>
    </row>
    <row r="3" spans="1:14" s="5" customFormat="1">
      <c r="A3" s="16" t="s">
        <v>35</v>
      </c>
      <c r="B3" s="10">
        <v>45721</v>
      </c>
      <c r="C3" s="20" t="s">
        <v>36</v>
      </c>
      <c r="D3" s="13" t="s">
        <v>28</v>
      </c>
      <c r="E3" s="20" t="s">
        <v>37</v>
      </c>
      <c r="F3" s="13" t="s">
        <v>30</v>
      </c>
      <c r="G3" s="20">
        <v>6</v>
      </c>
      <c r="H3" s="13">
        <v>4</v>
      </c>
      <c r="I3" s="20" t="s">
        <v>38</v>
      </c>
      <c r="J3" s="13">
        <v>5</v>
      </c>
      <c r="K3" s="20" t="s">
        <v>39</v>
      </c>
      <c r="L3" s="13" t="s">
        <v>40</v>
      </c>
      <c r="M3" s="20" t="s">
        <v>34</v>
      </c>
      <c r="N3" s="13">
        <v>43</v>
      </c>
    </row>
    <row r="4" spans="1:14" s="5" customFormat="1">
      <c r="A4" s="16" t="s">
        <v>41</v>
      </c>
      <c r="B4" s="10">
        <v>45725</v>
      </c>
      <c r="C4" s="20" t="s">
        <v>42</v>
      </c>
      <c r="D4" s="13" t="s">
        <v>43</v>
      </c>
      <c r="E4" s="20" t="s">
        <v>44</v>
      </c>
      <c r="F4" s="13" t="s">
        <v>45</v>
      </c>
      <c r="G4" s="20">
        <v>8</v>
      </c>
      <c r="H4" s="13">
        <v>3</v>
      </c>
      <c r="I4" s="20" t="s">
        <v>31</v>
      </c>
      <c r="J4" s="13">
        <v>10</v>
      </c>
      <c r="K4" s="20" t="s">
        <v>39</v>
      </c>
      <c r="L4" s="13" t="s">
        <v>46</v>
      </c>
      <c r="M4" s="20" t="s">
        <v>47</v>
      </c>
      <c r="N4" s="13">
        <v>38</v>
      </c>
    </row>
    <row r="5" spans="1:14" s="5" customFormat="1">
      <c r="A5" s="16" t="s">
        <v>48</v>
      </c>
      <c r="B5" s="10">
        <v>45734</v>
      </c>
      <c r="C5" s="20" t="s">
        <v>49</v>
      </c>
      <c r="D5" s="13" t="s">
        <v>50</v>
      </c>
      <c r="E5" s="20" t="s">
        <v>51</v>
      </c>
      <c r="F5" s="13" t="s">
        <v>52</v>
      </c>
      <c r="G5" s="20">
        <v>8</v>
      </c>
      <c r="H5" s="13">
        <v>4</v>
      </c>
      <c r="I5" s="20" t="s">
        <v>31</v>
      </c>
      <c r="J5" s="13">
        <v>9</v>
      </c>
      <c r="K5" s="20" t="s">
        <v>53</v>
      </c>
      <c r="L5" s="13" t="s">
        <v>54</v>
      </c>
      <c r="M5" s="20" t="s">
        <v>55</v>
      </c>
      <c r="N5" s="13">
        <v>42</v>
      </c>
    </row>
    <row r="6" spans="1:14" s="5" customFormat="1">
      <c r="A6" s="16" t="s">
        <v>56</v>
      </c>
      <c r="B6" s="10">
        <v>45740</v>
      </c>
      <c r="C6" s="20" t="s">
        <v>57</v>
      </c>
      <c r="D6" s="13" t="s">
        <v>58</v>
      </c>
      <c r="E6" s="20" t="s">
        <v>29</v>
      </c>
      <c r="F6" s="13" t="s">
        <v>45</v>
      </c>
      <c r="G6" s="20">
        <v>7</v>
      </c>
      <c r="H6" s="13">
        <v>3</v>
      </c>
      <c r="I6" s="20" t="s">
        <v>31</v>
      </c>
      <c r="J6" s="13">
        <v>9</v>
      </c>
      <c r="K6" s="20" t="s">
        <v>53</v>
      </c>
      <c r="L6" s="13" t="s">
        <v>59</v>
      </c>
      <c r="M6" s="20" t="s">
        <v>60</v>
      </c>
      <c r="N6" s="13">
        <v>14</v>
      </c>
    </row>
    <row r="7" spans="1:14" s="5" customFormat="1">
      <c r="A7" s="16" t="s">
        <v>61</v>
      </c>
      <c r="B7" s="10">
        <v>45774</v>
      </c>
      <c r="C7" s="20" t="s">
        <v>62</v>
      </c>
      <c r="D7" s="13" t="s">
        <v>63</v>
      </c>
      <c r="E7" s="20" t="s">
        <v>37</v>
      </c>
      <c r="F7" s="13" t="s">
        <v>52</v>
      </c>
      <c r="G7" s="20">
        <v>6</v>
      </c>
      <c r="H7" s="13">
        <v>4</v>
      </c>
      <c r="I7" s="20" t="s">
        <v>38</v>
      </c>
      <c r="J7" s="13">
        <v>4</v>
      </c>
      <c r="K7" s="20" t="s">
        <v>64</v>
      </c>
      <c r="L7" s="13" t="s">
        <v>65</v>
      </c>
      <c r="M7" s="20" t="s">
        <v>66</v>
      </c>
      <c r="N7" s="13">
        <v>38</v>
      </c>
    </row>
    <row r="8" spans="1:14" s="5" customFormat="1">
      <c r="A8" s="16" t="s">
        <v>67</v>
      </c>
      <c r="B8" s="10">
        <v>45791</v>
      </c>
      <c r="C8" s="20" t="s">
        <v>68</v>
      </c>
      <c r="D8" s="13" t="s">
        <v>58</v>
      </c>
      <c r="E8" s="20" t="s">
        <v>37</v>
      </c>
      <c r="F8" s="13" t="s">
        <v>45</v>
      </c>
      <c r="G8" s="20">
        <v>8</v>
      </c>
      <c r="H8" s="13">
        <v>3</v>
      </c>
      <c r="I8" s="20" t="s">
        <v>31</v>
      </c>
      <c r="J8" s="13">
        <v>7</v>
      </c>
      <c r="K8" s="20" t="s">
        <v>39</v>
      </c>
      <c r="L8" s="13" t="s">
        <v>69</v>
      </c>
      <c r="M8" s="20" t="s">
        <v>70</v>
      </c>
      <c r="N8" s="13">
        <v>71</v>
      </c>
    </row>
    <row r="9" spans="1:14" s="5" customFormat="1">
      <c r="A9" s="16" t="s">
        <v>71</v>
      </c>
      <c r="B9" s="10">
        <v>45798</v>
      </c>
      <c r="C9" s="20" t="s">
        <v>72</v>
      </c>
      <c r="D9" s="13" t="s">
        <v>50</v>
      </c>
      <c r="E9" s="20" t="s">
        <v>73</v>
      </c>
      <c r="F9" s="13" t="s">
        <v>52</v>
      </c>
      <c r="G9" s="20">
        <v>10</v>
      </c>
      <c r="H9" s="13">
        <v>4</v>
      </c>
      <c r="I9" s="20" t="s">
        <v>31</v>
      </c>
      <c r="J9" s="13">
        <v>10</v>
      </c>
      <c r="K9" s="20" t="s">
        <v>74</v>
      </c>
      <c r="L9" s="13" t="s">
        <v>75</v>
      </c>
      <c r="M9" s="20" t="s">
        <v>76</v>
      </c>
      <c r="N9" s="13">
        <v>61</v>
      </c>
    </row>
    <row r="10" spans="1:14" s="5" customFormat="1">
      <c r="A10" s="16" t="s">
        <v>77</v>
      </c>
      <c r="B10" s="10">
        <v>45800</v>
      </c>
      <c r="C10" s="20" t="s">
        <v>78</v>
      </c>
      <c r="D10" s="13" t="s">
        <v>58</v>
      </c>
      <c r="E10" s="20" t="s">
        <v>44</v>
      </c>
      <c r="F10" s="13" t="s">
        <v>45</v>
      </c>
      <c r="G10" s="20">
        <v>8</v>
      </c>
      <c r="H10" s="13">
        <v>3</v>
      </c>
      <c r="I10" s="20" t="s">
        <v>31</v>
      </c>
      <c r="J10" s="13">
        <v>8</v>
      </c>
      <c r="K10" s="20" t="s">
        <v>74</v>
      </c>
      <c r="L10" s="13" t="s">
        <v>79</v>
      </c>
      <c r="M10" s="20" t="s">
        <v>70</v>
      </c>
      <c r="N10" s="13">
        <v>5</v>
      </c>
    </row>
    <row r="11" spans="1:14" s="5" customFormat="1">
      <c r="A11" s="16" t="s">
        <v>80</v>
      </c>
      <c r="B11" s="10">
        <v>45804</v>
      </c>
      <c r="C11" s="20" t="s">
        <v>81</v>
      </c>
      <c r="D11" s="13" t="s">
        <v>63</v>
      </c>
      <c r="E11" s="20" t="s">
        <v>82</v>
      </c>
      <c r="F11" s="13" t="s">
        <v>83</v>
      </c>
      <c r="G11" s="20">
        <v>8</v>
      </c>
      <c r="H11" s="13">
        <v>3</v>
      </c>
      <c r="I11" s="20" t="s">
        <v>31</v>
      </c>
      <c r="J11" s="13">
        <v>6</v>
      </c>
      <c r="K11" s="20" t="s">
        <v>74</v>
      </c>
      <c r="L11" s="13" t="s">
        <v>84</v>
      </c>
      <c r="M11" s="20" t="s">
        <v>85</v>
      </c>
      <c r="N11" s="13">
        <v>39</v>
      </c>
    </row>
    <row r="12" spans="1:14" s="5" customFormat="1">
      <c r="A12" s="16" t="s">
        <v>86</v>
      </c>
      <c r="B12" s="10">
        <v>45808</v>
      </c>
      <c r="C12" s="20" t="s">
        <v>87</v>
      </c>
      <c r="D12" s="13" t="s">
        <v>58</v>
      </c>
      <c r="E12" s="20" t="s">
        <v>73</v>
      </c>
      <c r="F12" s="13" t="s">
        <v>52</v>
      </c>
      <c r="G12" s="20">
        <v>10</v>
      </c>
      <c r="H12" s="13">
        <v>5</v>
      </c>
      <c r="I12" s="20" t="s">
        <v>31</v>
      </c>
      <c r="J12" s="13">
        <v>10</v>
      </c>
      <c r="K12" s="20" t="s">
        <v>32</v>
      </c>
      <c r="L12" s="13" t="s">
        <v>88</v>
      </c>
      <c r="M12" s="20" t="s">
        <v>76</v>
      </c>
      <c r="N12" s="13">
        <v>48</v>
      </c>
    </row>
    <row r="13" spans="1:14" s="5" customFormat="1">
      <c r="A13" s="16" t="s">
        <v>89</v>
      </c>
      <c r="B13" s="10">
        <v>45809</v>
      </c>
      <c r="C13" s="20" t="s">
        <v>90</v>
      </c>
      <c r="D13" s="13" t="s">
        <v>28</v>
      </c>
      <c r="E13" s="20" t="s">
        <v>29</v>
      </c>
      <c r="F13" s="13" t="s">
        <v>52</v>
      </c>
      <c r="G13" s="20">
        <v>10</v>
      </c>
      <c r="H13" s="13">
        <v>5</v>
      </c>
      <c r="I13" s="20" t="s">
        <v>31</v>
      </c>
      <c r="J13" s="13">
        <v>10</v>
      </c>
      <c r="K13" s="20" t="s">
        <v>64</v>
      </c>
      <c r="L13" s="13" t="s">
        <v>91</v>
      </c>
      <c r="M13" s="20" t="s">
        <v>60</v>
      </c>
      <c r="N13" s="13">
        <v>16</v>
      </c>
    </row>
    <row r="14" spans="1:14" s="5" customFormat="1">
      <c r="A14" s="16" t="s">
        <v>92</v>
      </c>
      <c r="B14" s="10">
        <v>45815</v>
      </c>
      <c r="C14" s="20" t="s">
        <v>93</v>
      </c>
      <c r="D14" s="13" t="s">
        <v>58</v>
      </c>
      <c r="E14" s="20" t="s">
        <v>44</v>
      </c>
      <c r="F14" s="13" t="s">
        <v>83</v>
      </c>
      <c r="G14" s="20">
        <v>8</v>
      </c>
      <c r="H14" s="13">
        <v>3</v>
      </c>
      <c r="I14" s="20" t="s">
        <v>31</v>
      </c>
      <c r="J14" s="13">
        <v>7</v>
      </c>
      <c r="K14" s="20" t="s">
        <v>39</v>
      </c>
      <c r="L14" s="13" t="s">
        <v>94</v>
      </c>
      <c r="M14" s="20" t="s">
        <v>55</v>
      </c>
      <c r="N14" s="13">
        <v>21</v>
      </c>
    </row>
    <row r="15" spans="1:14" s="5" customFormat="1">
      <c r="A15" s="16" t="s">
        <v>95</v>
      </c>
      <c r="B15" s="10">
        <v>45822</v>
      </c>
      <c r="C15" s="20" t="s">
        <v>96</v>
      </c>
      <c r="D15" s="13" t="s">
        <v>28</v>
      </c>
      <c r="E15" s="20" t="s">
        <v>82</v>
      </c>
      <c r="F15" s="13" t="s">
        <v>45</v>
      </c>
      <c r="G15" s="20">
        <v>5</v>
      </c>
      <c r="H15" s="13">
        <v>3</v>
      </c>
      <c r="I15" s="20" t="s">
        <v>38</v>
      </c>
      <c r="J15" s="13">
        <v>3</v>
      </c>
      <c r="K15" s="20" t="s">
        <v>53</v>
      </c>
      <c r="L15" s="13" t="s">
        <v>97</v>
      </c>
      <c r="M15" s="20" t="s">
        <v>55</v>
      </c>
      <c r="N15" s="13">
        <v>52</v>
      </c>
    </row>
    <row r="16" spans="1:14" s="5" customFormat="1">
      <c r="A16" s="16" t="s">
        <v>98</v>
      </c>
      <c r="B16" s="10">
        <v>45827</v>
      </c>
      <c r="C16" s="20" t="s">
        <v>99</v>
      </c>
      <c r="D16" s="13" t="s">
        <v>63</v>
      </c>
      <c r="E16" s="20" t="s">
        <v>44</v>
      </c>
      <c r="F16" s="13" t="s">
        <v>83</v>
      </c>
      <c r="G16" s="20">
        <v>7</v>
      </c>
      <c r="H16" s="13">
        <v>3</v>
      </c>
      <c r="I16" s="20" t="s">
        <v>31</v>
      </c>
      <c r="J16" s="13">
        <v>9</v>
      </c>
      <c r="K16" s="20" t="s">
        <v>32</v>
      </c>
      <c r="L16" s="13" t="s">
        <v>100</v>
      </c>
      <c r="M16" s="20" t="s">
        <v>70</v>
      </c>
      <c r="N16" s="13">
        <v>39</v>
      </c>
    </row>
    <row r="17" spans="1:14" s="5" customFormat="1">
      <c r="A17" s="16" t="s">
        <v>101</v>
      </c>
      <c r="B17" s="10">
        <v>45832</v>
      </c>
      <c r="C17" s="20" t="s">
        <v>102</v>
      </c>
      <c r="D17" s="13" t="s">
        <v>43</v>
      </c>
      <c r="E17" s="20" t="s">
        <v>37</v>
      </c>
      <c r="F17" s="13" t="s">
        <v>52</v>
      </c>
      <c r="G17" s="20">
        <v>10</v>
      </c>
      <c r="H17" s="13">
        <v>5</v>
      </c>
      <c r="I17" s="20" t="s">
        <v>31</v>
      </c>
      <c r="J17" s="13">
        <v>9</v>
      </c>
      <c r="K17" s="20" t="s">
        <v>74</v>
      </c>
      <c r="L17" s="13" t="s">
        <v>103</v>
      </c>
      <c r="M17" s="20" t="s">
        <v>47</v>
      </c>
      <c r="N17" s="13">
        <v>59</v>
      </c>
    </row>
    <row r="18" spans="1:14" s="5" customFormat="1">
      <c r="A18" s="16" t="s">
        <v>104</v>
      </c>
      <c r="B18" s="10">
        <v>45833</v>
      </c>
      <c r="C18" s="20" t="s">
        <v>105</v>
      </c>
      <c r="D18" s="13" t="s">
        <v>43</v>
      </c>
      <c r="E18" s="20" t="s">
        <v>29</v>
      </c>
      <c r="F18" s="13" t="s">
        <v>83</v>
      </c>
      <c r="G18" s="20">
        <v>7</v>
      </c>
      <c r="H18" s="13">
        <v>4</v>
      </c>
      <c r="I18" s="20" t="s">
        <v>31</v>
      </c>
      <c r="J18" s="13">
        <v>5</v>
      </c>
      <c r="K18" s="20" t="s">
        <v>39</v>
      </c>
      <c r="L18" s="13" t="s">
        <v>106</v>
      </c>
      <c r="M18" s="20" t="s">
        <v>66</v>
      </c>
      <c r="N18" s="13">
        <v>71</v>
      </c>
    </row>
    <row r="19" spans="1:14" s="5" customFormat="1">
      <c r="A19" s="16" t="s">
        <v>107</v>
      </c>
      <c r="B19" s="10">
        <v>45849</v>
      </c>
      <c r="C19" s="20" t="s">
        <v>108</v>
      </c>
      <c r="D19" s="13" t="s">
        <v>63</v>
      </c>
      <c r="E19" s="20" t="s">
        <v>51</v>
      </c>
      <c r="F19" s="13" t="s">
        <v>45</v>
      </c>
      <c r="G19" s="20">
        <v>8</v>
      </c>
      <c r="H19" s="13">
        <v>3</v>
      </c>
      <c r="I19" s="20" t="s">
        <v>31</v>
      </c>
      <c r="J19" s="13">
        <v>8</v>
      </c>
      <c r="K19" s="20" t="s">
        <v>64</v>
      </c>
      <c r="L19" s="13" t="s">
        <v>109</v>
      </c>
      <c r="M19" s="20" t="s">
        <v>60</v>
      </c>
      <c r="N19" s="13">
        <v>13</v>
      </c>
    </row>
    <row r="20" spans="1:14" s="5" customFormat="1">
      <c r="A20" s="16" t="s">
        <v>110</v>
      </c>
      <c r="B20" s="10">
        <v>45851</v>
      </c>
      <c r="C20" s="20" t="s">
        <v>111</v>
      </c>
      <c r="D20" s="13" t="s">
        <v>28</v>
      </c>
      <c r="E20" s="20" t="s">
        <v>73</v>
      </c>
      <c r="F20" s="13" t="s">
        <v>45</v>
      </c>
      <c r="G20" s="20">
        <v>7</v>
      </c>
      <c r="H20" s="13">
        <v>4</v>
      </c>
      <c r="I20" s="20" t="s">
        <v>38</v>
      </c>
      <c r="J20" s="13">
        <v>9</v>
      </c>
      <c r="K20" s="20" t="s">
        <v>53</v>
      </c>
      <c r="L20" s="13" t="s">
        <v>112</v>
      </c>
      <c r="M20" s="20" t="s">
        <v>34</v>
      </c>
      <c r="N20" s="13">
        <v>28</v>
      </c>
    </row>
    <row r="21" spans="1:14" s="5" customFormat="1">
      <c r="A21" s="17" t="s">
        <v>113</v>
      </c>
      <c r="B21" s="11">
        <v>45857</v>
      </c>
      <c r="C21" s="21" t="s">
        <v>114</v>
      </c>
      <c r="D21" s="14" t="s">
        <v>63</v>
      </c>
      <c r="E21" s="21" t="s">
        <v>73</v>
      </c>
      <c r="F21" s="14" t="s">
        <v>30</v>
      </c>
      <c r="G21" s="21">
        <v>7</v>
      </c>
      <c r="H21" s="14">
        <v>5</v>
      </c>
      <c r="I21" s="21" t="s">
        <v>31</v>
      </c>
      <c r="J21" s="14">
        <v>9</v>
      </c>
      <c r="K21" s="21" t="s">
        <v>64</v>
      </c>
      <c r="L21" s="14" t="s">
        <v>115</v>
      </c>
      <c r="M21" s="21" t="s">
        <v>76</v>
      </c>
      <c r="N21" s="14">
        <v>36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21"/>
  <sheetViews>
    <sheetView workbookViewId="0">
      <selection activeCell="G25" sqref="G25"/>
    </sheetView>
  </sheetViews>
  <sheetFormatPr defaultRowHeight="15"/>
  <cols>
    <col min="1" max="1" width="12.7109375" customWidth="1"/>
    <col min="2" max="2" width="22.7109375" customWidth="1"/>
    <col min="3" max="3" width="25" customWidth="1"/>
    <col min="4" max="4" width="14.140625" customWidth="1"/>
    <col min="5" max="5" width="14.7109375" customWidth="1"/>
    <col min="6" max="6" width="10.7109375" customWidth="1"/>
    <col min="7" max="7" width="17.42578125" customWidth="1"/>
    <col min="8" max="8" width="16.7109375" customWidth="1"/>
    <col min="9" max="9" width="17.5703125" customWidth="1"/>
    <col min="10" max="10" width="21.5703125" customWidth="1"/>
    <col min="11" max="11" width="21.140625" customWidth="1"/>
    <col min="12" max="12" width="15.42578125" customWidth="1"/>
    <col min="13" max="13" width="16.140625" customWidth="1"/>
  </cols>
  <sheetData>
    <row r="1" spans="1:13" s="6" customFormat="1">
      <c r="A1" s="23" t="s">
        <v>116</v>
      </c>
      <c r="B1" s="8" t="s">
        <v>117</v>
      </c>
      <c r="C1" s="24" t="s">
        <v>118</v>
      </c>
      <c r="D1" s="8" t="s">
        <v>119</v>
      </c>
      <c r="E1" s="24" t="s">
        <v>120</v>
      </c>
      <c r="F1" s="8" t="s">
        <v>121</v>
      </c>
      <c r="G1" s="24" t="s">
        <v>122</v>
      </c>
      <c r="H1" s="8" t="s">
        <v>123</v>
      </c>
      <c r="I1" s="24" t="s">
        <v>124</v>
      </c>
      <c r="J1" s="8" t="s">
        <v>125</v>
      </c>
      <c r="K1" s="24" t="s">
        <v>126</v>
      </c>
      <c r="L1" s="8" t="s">
        <v>16</v>
      </c>
      <c r="M1" s="25" t="s">
        <v>17</v>
      </c>
    </row>
    <row r="2" spans="1:13" s="5" customFormat="1">
      <c r="A2" s="16" t="s">
        <v>127</v>
      </c>
      <c r="B2" s="13" t="s">
        <v>72</v>
      </c>
      <c r="C2" s="20">
        <v>10</v>
      </c>
      <c r="D2" s="10">
        <v>45698</v>
      </c>
      <c r="E2" s="20" t="s">
        <v>128</v>
      </c>
      <c r="F2" s="13" t="s">
        <v>38</v>
      </c>
      <c r="G2" s="50"/>
      <c r="H2" s="13">
        <v>642607</v>
      </c>
      <c r="I2" s="20">
        <v>12990.84</v>
      </c>
      <c r="J2" s="48">
        <v>0.3</v>
      </c>
      <c r="K2" s="20">
        <v>192782.1</v>
      </c>
      <c r="L2" s="13" t="s">
        <v>37</v>
      </c>
      <c r="M2" s="26" t="s">
        <v>83</v>
      </c>
    </row>
    <row r="3" spans="1:13" s="5" customFormat="1">
      <c r="A3" s="16" t="s">
        <v>129</v>
      </c>
      <c r="B3" s="13" t="s">
        <v>87</v>
      </c>
      <c r="C3" s="20">
        <v>10</v>
      </c>
      <c r="D3" s="10">
        <v>45705</v>
      </c>
      <c r="E3" s="20" t="s">
        <v>130</v>
      </c>
      <c r="F3" s="13" t="s">
        <v>38</v>
      </c>
      <c r="G3" s="50"/>
      <c r="H3" s="13">
        <v>284612</v>
      </c>
      <c r="I3" s="20">
        <v>5969.78</v>
      </c>
      <c r="J3" s="48">
        <v>0.5</v>
      </c>
      <c r="K3" s="20">
        <v>142306</v>
      </c>
      <c r="L3" s="13" t="s">
        <v>73</v>
      </c>
      <c r="M3" s="26" t="s">
        <v>30</v>
      </c>
    </row>
    <row r="4" spans="1:13" s="5" customFormat="1">
      <c r="A4" s="16" t="s">
        <v>131</v>
      </c>
      <c r="B4" s="13" t="s">
        <v>90</v>
      </c>
      <c r="C4" s="20">
        <v>10</v>
      </c>
      <c r="D4" s="10">
        <v>45708</v>
      </c>
      <c r="E4" s="20" t="s">
        <v>132</v>
      </c>
      <c r="F4" s="13" t="s">
        <v>38</v>
      </c>
      <c r="G4" s="50"/>
      <c r="H4" s="13">
        <v>376277</v>
      </c>
      <c r="I4" s="20">
        <v>7906.4</v>
      </c>
      <c r="J4" s="48">
        <v>0.15</v>
      </c>
      <c r="K4" s="20">
        <v>56441.55</v>
      </c>
      <c r="L4" s="13" t="s">
        <v>37</v>
      </c>
      <c r="M4" s="26" t="s">
        <v>83</v>
      </c>
    </row>
    <row r="5" spans="1:13" s="5" customFormat="1">
      <c r="A5" s="16" t="s">
        <v>133</v>
      </c>
      <c r="B5" s="13" t="s">
        <v>102</v>
      </c>
      <c r="C5" s="20">
        <v>10</v>
      </c>
      <c r="D5" s="10">
        <v>45723</v>
      </c>
      <c r="E5" s="20" t="s">
        <v>128</v>
      </c>
      <c r="F5" s="13" t="s">
        <v>38</v>
      </c>
      <c r="G5" s="50"/>
      <c r="H5" s="13">
        <v>264750</v>
      </c>
      <c r="I5" s="20">
        <v>7836.98</v>
      </c>
      <c r="J5" s="48">
        <v>0.3</v>
      </c>
      <c r="K5" s="20">
        <v>79425</v>
      </c>
      <c r="L5" s="13" t="s">
        <v>37</v>
      </c>
      <c r="M5" s="26" t="s">
        <v>45</v>
      </c>
    </row>
    <row r="6" spans="1:13" s="5" customFormat="1">
      <c r="A6" s="16" t="s">
        <v>134</v>
      </c>
      <c r="B6" s="13" t="s">
        <v>105</v>
      </c>
      <c r="C6" s="20">
        <v>7</v>
      </c>
      <c r="D6" s="10">
        <v>45728</v>
      </c>
      <c r="E6" s="20" t="s">
        <v>135</v>
      </c>
      <c r="F6" s="13" t="s">
        <v>31</v>
      </c>
      <c r="G6" s="50">
        <v>45762</v>
      </c>
      <c r="H6" s="13">
        <v>685463</v>
      </c>
      <c r="I6" s="20">
        <v>19836.97</v>
      </c>
      <c r="J6" s="48">
        <v>1</v>
      </c>
      <c r="K6" s="20">
        <v>685463</v>
      </c>
      <c r="L6" s="13" t="s">
        <v>37</v>
      </c>
      <c r="M6" s="26" t="s">
        <v>52</v>
      </c>
    </row>
    <row r="7" spans="1:13" s="5" customFormat="1">
      <c r="A7" s="16" t="s">
        <v>136</v>
      </c>
      <c r="B7" s="13" t="s">
        <v>62</v>
      </c>
      <c r="C7" s="20">
        <v>6</v>
      </c>
      <c r="D7" s="10">
        <v>45746</v>
      </c>
      <c r="E7" s="20" t="s">
        <v>135</v>
      </c>
      <c r="F7" s="13" t="s">
        <v>31</v>
      </c>
      <c r="G7" s="50">
        <v>45784</v>
      </c>
      <c r="H7" s="13">
        <v>669767</v>
      </c>
      <c r="I7" s="20">
        <v>14763.37</v>
      </c>
      <c r="J7" s="48">
        <v>1</v>
      </c>
      <c r="K7" s="20">
        <v>669767</v>
      </c>
      <c r="L7" s="13" t="s">
        <v>51</v>
      </c>
      <c r="M7" s="26" t="s">
        <v>52</v>
      </c>
    </row>
    <row r="8" spans="1:13" s="5" customFormat="1">
      <c r="A8" s="16" t="s">
        <v>137</v>
      </c>
      <c r="B8" s="13" t="s">
        <v>114</v>
      </c>
      <c r="C8" s="20">
        <v>7</v>
      </c>
      <c r="D8" s="10">
        <v>45751</v>
      </c>
      <c r="E8" s="20" t="s">
        <v>135</v>
      </c>
      <c r="F8" s="13" t="s">
        <v>31</v>
      </c>
      <c r="G8" s="50">
        <v>45769</v>
      </c>
      <c r="H8" s="13">
        <v>831064</v>
      </c>
      <c r="I8" s="20">
        <v>18730.63</v>
      </c>
      <c r="J8" s="48">
        <v>1</v>
      </c>
      <c r="K8" s="20">
        <v>831064</v>
      </c>
      <c r="L8" s="13" t="s">
        <v>37</v>
      </c>
      <c r="M8" s="26" t="s">
        <v>30</v>
      </c>
    </row>
    <row r="9" spans="1:13" s="5" customFormat="1">
      <c r="A9" s="16" t="s">
        <v>138</v>
      </c>
      <c r="B9" s="13" t="s">
        <v>90</v>
      </c>
      <c r="C9" s="20">
        <v>10</v>
      </c>
      <c r="D9" s="10">
        <v>45763</v>
      </c>
      <c r="E9" s="20" t="s">
        <v>132</v>
      </c>
      <c r="F9" s="13" t="s">
        <v>38</v>
      </c>
      <c r="G9" s="50"/>
      <c r="H9" s="13">
        <v>680714</v>
      </c>
      <c r="I9" s="20">
        <v>20155.11</v>
      </c>
      <c r="J9" s="48">
        <v>0.15</v>
      </c>
      <c r="K9" s="20">
        <v>102107.1</v>
      </c>
      <c r="L9" s="13" t="s">
        <v>29</v>
      </c>
      <c r="M9" s="26" t="s">
        <v>30</v>
      </c>
    </row>
    <row r="10" spans="1:13" s="5" customFormat="1">
      <c r="A10" s="16" t="s">
        <v>139</v>
      </c>
      <c r="B10" s="13" t="s">
        <v>111</v>
      </c>
      <c r="C10" s="20">
        <v>7</v>
      </c>
      <c r="D10" s="10">
        <v>45772</v>
      </c>
      <c r="E10" s="20" t="s">
        <v>130</v>
      </c>
      <c r="F10" s="13" t="s">
        <v>38</v>
      </c>
      <c r="G10" s="50"/>
      <c r="H10" s="13">
        <v>730843</v>
      </c>
      <c r="I10" s="20">
        <v>18782.650000000001</v>
      </c>
      <c r="J10" s="48">
        <v>0.5</v>
      </c>
      <c r="K10" s="20">
        <v>365421.5</v>
      </c>
      <c r="L10" s="13" t="s">
        <v>73</v>
      </c>
      <c r="M10" s="26" t="s">
        <v>45</v>
      </c>
    </row>
    <row r="11" spans="1:13" s="5" customFormat="1">
      <c r="A11" s="16" t="s">
        <v>140</v>
      </c>
      <c r="B11" s="13" t="s">
        <v>68</v>
      </c>
      <c r="C11" s="20">
        <v>8</v>
      </c>
      <c r="D11" s="10">
        <v>45785</v>
      </c>
      <c r="E11" s="20" t="s">
        <v>128</v>
      </c>
      <c r="F11" s="13" t="s">
        <v>38</v>
      </c>
      <c r="G11" s="50"/>
      <c r="H11" s="13">
        <v>459520</v>
      </c>
      <c r="I11" s="20">
        <v>10883.84</v>
      </c>
      <c r="J11" s="48">
        <v>0.3</v>
      </c>
      <c r="K11" s="20">
        <v>137856</v>
      </c>
      <c r="L11" s="13" t="s">
        <v>51</v>
      </c>
      <c r="M11" s="26" t="s">
        <v>83</v>
      </c>
    </row>
    <row r="12" spans="1:13" s="5" customFormat="1">
      <c r="A12" s="16" t="s">
        <v>141</v>
      </c>
      <c r="B12" s="13" t="s">
        <v>27</v>
      </c>
      <c r="C12" s="20">
        <v>7</v>
      </c>
      <c r="D12" s="10">
        <v>45799</v>
      </c>
      <c r="E12" s="20" t="s">
        <v>135</v>
      </c>
      <c r="F12" s="13" t="s">
        <v>31</v>
      </c>
      <c r="G12" s="50">
        <v>45837</v>
      </c>
      <c r="H12" s="13">
        <v>197008</v>
      </c>
      <c r="I12" s="20">
        <v>4859.29</v>
      </c>
      <c r="J12" s="48">
        <v>1</v>
      </c>
      <c r="K12" s="20">
        <v>197008</v>
      </c>
      <c r="L12" s="13" t="s">
        <v>82</v>
      </c>
      <c r="M12" s="26" t="s">
        <v>83</v>
      </c>
    </row>
    <row r="13" spans="1:13" s="5" customFormat="1">
      <c r="A13" s="16" t="s">
        <v>142</v>
      </c>
      <c r="B13" s="13" t="s">
        <v>102</v>
      </c>
      <c r="C13" s="20">
        <v>10</v>
      </c>
      <c r="D13" s="10">
        <v>45800</v>
      </c>
      <c r="E13" s="20" t="s">
        <v>135</v>
      </c>
      <c r="F13" s="13" t="s">
        <v>31</v>
      </c>
      <c r="G13" s="50">
        <v>45843</v>
      </c>
      <c r="H13" s="13">
        <v>813616</v>
      </c>
      <c r="I13" s="20">
        <v>18487.060000000001</v>
      </c>
      <c r="J13" s="48">
        <v>1</v>
      </c>
      <c r="K13" s="20">
        <v>813616</v>
      </c>
      <c r="L13" s="13" t="s">
        <v>37</v>
      </c>
      <c r="M13" s="26" t="s">
        <v>30</v>
      </c>
    </row>
    <row r="14" spans="1:13" s="5" customFormat="1">
      <c r="A14" s="16" t="s">
        <v>143</v>
      </c>
      <c r="B14" s="13" t="s">
        <v>27</v>
      </c>
      <c r="C14" s="20">
        <v>7</v>
      </c>
      <c r="D14" s="10">
        <v>45824</v>
      </c>
      <c r="E14" s="20" t="s">
        <v>128</v>
      </c>
      <c r="F14" s="13" t="s">
        <v>38</v>
      </c>
      <c r="G14" s="50"/>
      <c r="H14" s="13">
        <v>868611</v>
      </c>
      <c r="I14" s="20">
        <v>22441.24</v>
      </c>
      <c r="J14" s="48">
        <v>0.3</v>
      </c>
      <c r="K14" s="20">
        <v>260583.3</v>
      </c>
      <c r="L14" s="13" t="s">
        <v>82</v>
      </c>
      <c r="M14" s="26" t="s">
        <v>45</v>
      </c>
    </row>
    <row r="15" spans="1:13" s="5" customFormat="1">
      <c r="A15" s="16" t="s">
        <v>144</v>
      </c>
      <c r="B15" s="13" t="s">
        <v>57</v>
      </c>
      <c r="C15" s="20">
        <v>7</v>
      </c>
      <c r="D15" s="10">
        <v>45831</v>
      </c>
      <c r="E15" s="20" t="s">
        <v>135</v>
      </c>
      <c r="F15" s="13" t="s">
        <v>31</v>
      </c>
      <c r="G15" s="50">
        <v>45871</v>
      </c>
      <c r="H15" s="13">
        <v>771181</v>
      </c>
      <c r="I15" s="20">
        <v>21016.78</v>
      </c>
      <c r="J15" s="48">
        <v>1</v>
      </c>
      <c r="K15" s="20">
        <v>771181</v>
      </c>
      <c r="L15" s="13" t="s">
        <v>82</v>
      </c>
      <c r="M15" s="26" t="s">
        <v>30</v>
      </c>
    </row>
    <row r="16" spans="1:13" s="5" customFormat="1">
      <c r="A16" s="16" t="s">
        <v>145</v>
      </c>
      <c r="B16" s="13" t="s">
        <v>49</v>
      </c>
      <c r="C16" s="20">
        <v>8</v>
      </c>
      <c r="D16" s="10">
        <v>45832</v>
      </c>
      <c r="E16" s="20" t="s">
        <v>132</v>
      </c>
      <c r="F16" s="13" t="s">
        <v>38</v>
      </c>
      <c r="G16" s="50"/>
      <c r="H16" s="13">
        <v>771210</v>
      </c>
      <c r="I16" s="20">
        <v>19399.39</v>
      </c>
      <c r="J16" s="48">
        <v>0.15</v>
      </c>
      <c r="K16" s="20">
        <v>115681.5</v>
      </c>
      <c r="L16" s="13" t="s">
        <v>29</v>
      </c>
      <c r="M16" s="26" t="s">
        <v>52</v>
      </c>
    </row>
    <row r="17" spans="1:13" s="5" customFormat="1">
      <c r="A17" s="16" t="s">
        <v>146</v>
      </c>
      <c r="B17" s="13" t="s">
        <v>68</v>
      </c>
      <c r="C17" s="20">
        <v>8</v>
      </c>
      <c r="D17" s="10">
        <v>45844</v>
      </c>
      <c r="E17" s="20" t="s">
        <v>135</v>
      </c>
      <c r="F17" s="13" t="s">
        <v>31</v>
      </c>
      <c r="G17" s="50">
        <v>45860</v>
      </c>
      <c r="H17" s="13">
        <v>361607</v>
      </c>
      <c r="I17" s="20">
        <v>10199.73</v>
      </c>
      <c r="J17" s="48">
        <v>1</v>
      </c>
      <c r="K17" s="20">
        <v>361607</v>
      </c>
      <c r="L17" s="13" t="s">
        <v>37</v>
      </c>
      <c r="M17" s="26" t="s">
        <v>52</v>
      </c>
    </row>
    <row r="18" spans="1:13" s="5" customFormat="1">
      <c r="A18" s="16" t="s">
        <v>147</v>
      </c>
      <c r="B18" s="13" t="s">
        <v>105</v>
      </c>
      <c r="C18" s="20">
        <v>7</v>
      </c>
      <c r="D18" s="10">
        <v>45849</v>
      </c>
      <c r="E18" s="20" t="s">
        <v>135</v>
      </c>
      <c r="F18" s="13" t="s">
        <v>31</v>
      </c>
      <c r="G18" s="50">
        <v>45885</v>
      </c>
      <c r="H18" s="13">
        <v>293602</v>
      </c>
      <c r="I18" s="20">
        <v>6204.43</v>
      </c>
      <c r="J18" s="48">
        <v>1</v>
      </c>
      <c r="K18" s="20">
        <v>293602</v>
      </c>
      <c r="L18" s="13" t="s">
        <v>44</v>
      </c>
      <c r="M18" s="26" t="s">
        <v>52</v>
      </c>
    </row>
    <row r="19" spans="1:13" s="5" customFormat="1">
      <c r="A19" s="16" t="s">
        <v>148</v>
      </c>
      <c r="B19" s="13" t="s">
        <v>90</v>
      </c>
      <c r="C19" s="20">
        <v>10</v>
      </c>
      <c r="D19" s="10">
        <v>45855</v>
      </c>
      <c r="E19" s="20" t="s">
        <v>135</v>
      </c>
      <c r="F19" s="13" t="s">
        <v>31</v>
      </c>
      <c r="G19" s="50">
        <v>45876</v>
      </c>
      <c r="H19" s="13">
        <v>783165</v>
      </c>
      <c r="I19" s="20">
        <v>20390.900000000001</v>
      </c>
      <c r="J19" s="48">
        <v>1</v>
      </c>
      <c r="K19" s="20">
        <v>783165</v>
      </c>
      <c r="L19" s="13" t="s">
        <v>44</v>
      </c>
      <c r="M19" s="26" t="s">
        <v>83</v>
      </c>
    </row>
    <row r="20" spans="1:13" s="5" customFormat="1">
      <c r="A20" s="16" t="s">
        <v>149</v>
      </c>
      <c r="B20" s="13" t="s">
        <v>49</v>
      </c>
      <c r="C20" s="20">
        <v>8</v>
      </c>
      <c r="D20" s="10">
        <v>45857</v>
      </c>
      <c r="E20" s="20" t="s">
        <v>128</v>
      </c>
      <c r="F20" s="13" t="s">
        <v>38</v>
      </c>
      <c r="G20" s="50"/>
      <c r="H20" s="13">
        <v>748632</v>
      </c>
      <c r="I20" s="20">
        <v>22381.119999999999</v>
      </c>
      <c r="J20" s="48">
        <v>0.3</v>
      </c>
      <c r="K20" s="20">
        <v>224589.6</v>
      </c>
      <c r="L20" s="13" t="s">
        <v>44</v>
      </c>
      <c r="M20" s="26" t="s">
        <v>52</v>
      </c>
    </row>
    <row r="21" spans="1:13" s="5" customFormat="1">
      <c r="A21" s="17" t="s">
        <v>150</v>
      </c>
      <c r="B21" s="14" t="s">
        <v>68</v>
      </c>
      <c r="C21" s="21">
        <v>8</v>
      </c>
      <c r="D21" s="11">
        <v>45867</v>
      </c>
      <c r="E21" s="21" t="s">
        <v>135</v>
      </c>
      <c r="F21" s="14" t="s">
        <v>31</v>
      </c>
      <c r="G21" s="51">
        <v>45876</v>
      </c>
      <c r="H21" s="14">
        <v>777717</v>
      </c>
      <c r="I21" s="21">
        <v>16713.75</v>
      </c>
      <c r="J21" s="49">
        <v>1</v>
      </c>
      <c r="K21" s="21">
        <v>777717</v>
      </c>
      <c r="L21" s="14" t="s">
        <v>51</v>
      </c>
      <c r="M21" s="27" t="s">
        <v>83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7"/>
  <sheetViews>
    <sheetView topLeftCell="E1" workbookViewId="0">
      <selection activeCell="F22" sqref="F22"/>
    </sheetView>
  </sheetViews>
  <sheetFormatPr defaultRowHeight="15"/>
  <cols>
    <col min="1" max="2" width="14.7109375" customWidth="1"/>
    <col min="3" max="7" width="16.7109375" customWidth="1"/>
    <col min="9" max="9" width="15.7109375" customWidth="1"/>
  </cols>
  <sheetData>
    <row r="1" spans="1:10">
      <c r="A1" s="28" t="s">
        <v>151</v>
      </c>
      <c r="B1" s="29" t="s">
        <v>152</v>
      </c>
      <c r="C1" s="29" t="s">
        <v>153</v>
      </c>
      <c r="D1" s="29" t="s">
        <v>154</v>
      </c>
      <c r="E1" s="29" t="s">
        <v>155</v>
      </c>
      <c r="F1" s="29" t="s">
        <v>156</v>
      </c>
      <c r="G1" s="30" t="s">
        <v>157</v>
      </c>
      <c r="I1" s="56" t="s">
        <v>158</v>
      </c>
      <c r="J1" s="57"/>
    </row>
    <row r="2" spans="1:10">
      <c r="A2" s="37">
        <v>45689</v>
      </c>
      <c r="B2" s="9">
        <f t="shared" ref="B2:B7" si="0">EOMONTH(A2,0)</f>
        <v>45716</v>
      </c>
      <c r="C2" s="20">
        <f>COUNTIFS(Survey_Responses!$B$2:$B$21,"&gt;="&amp;A2,Survey_Responses!$B$2:$B$21,"&lt;="&amp;B2)</f>
        <v>1</v>
      </c>
      <c r="D2" s="12">
        <f>COUNTIFS(Survey_Responses!$G$2:$G$21,"&gt;=9",Survey_Responses!$B$2:$B$21,"&gt;="&amp;A2,Survey_Responses!$B$2:$B$21,"&lt;="&amp;B2)</f>
        <v>0</v>
      </c>
      <c r="E2" s="20">
        <f>COUNTIFS(Survey_Responses!$G$2:$G$21,"&lt;=6",Survey_Responses!$B$2:$B$21,"&gt;="&amp;A2,Survey_Responses!$B$2:$B$21,"&lt;="&amp;B2)</f>
        <v>0</v>
      </c>
      <c r="F2" s="12">
        <f>COUNTIFS(Survey_Responses!$G$2:$G$21,"&gt;=7",Survey_Responses!$G$2:$G$21,"&lt;=8",Survey_Responses!$B$2:$B$21,"&gt;="&amp;A2,Survey_Responses!$B$2:$B$21,"&lt;="&amp;B2)</f>
        <v>1</v>
      </c>
      <c r="G2" s="26">
        <f t="shared" ref="G2:G7" si="1">IF(C2=0,0,(D2/C2-E2/C2)*100)</f>
        <v>0</v>
      </c>
      <c r="I2" s="36" t="s">
        <v>159</v>
      </c>
      <c r="J2" s="34">
        <f>COUNTA(Survey_Responses!$A$2:$A$21)</f>
        <v>20</v>
      </c>
    </row>
    <row r="3" spans="1:10">
      <c r="A3" s="37">
        <v>45717</v>
      </c>
      <c r="B3" s="10">
        <f t="shared" si="0"/>
        <v>45747</v>
      </c>
      <c r="C3" s="20">
        <f>COUNTIFS(Survey_Responses!$B$2:$B$21,"&gt;="&amp;A3,Survey_Responses!$B$2:$B$21,"&lt;="&amp;B3)</f>
        <v>4</v>
      </c>
      <c r="D3" s="13">
        <f>COUNTIFS(Survey_Responses!$G$2:$G$21,"&gt;=9",Survey_Responses!$B$2:$B$21,"&gt;="&amp;A3,Survey_Responses!$B$2:$B$21,"&lt;="&amp;B3)</f>
        <v>0</v>
      </c>
      <c r="E3" s="20">
        <f>COUNTIFS(Survey_Responses!$G$2:$G$21,"&lt;=6",Survey_Responses!$B$2:$B$21,"&gt;="&amp;A3,Survey_Responses!$B$2:$B$21,"&lt;="&amp;B3)</f>
        <v>1</v>
      </c>
      <c r="F3" s="13">
        <f>COUNTIFS(Survey_Responses!$G$2:$G$21,"&gt;=7",Survey_Responses!$G$2:$G$21,"&lt;=8",Survey_Responses!$B$2:$B$21,"&gt;="&amp;A3,Survey_Responses!$B$2:$B$21,"&lt;="&amp;B3)</f>
        <v>3</v>
      </c>
      <c r="G3" s="26">
        <f t="shared" si="1"/>
        <v>-25</v>
      </c>
      <c r="I3" s="31" t="s">
        <v>154</v>
      </c>
      <c r="J3" s="33">
        <f>COUNTIF(Survey_Responses!$G$2:$G$21, "&gt;=9")</f>
        <v>4</v>
      </c>
    </row>
    <row r="4" spans="1:10">
      <c r="A4" s="37">
        <v>45748</v>
      </c>
      <c r="B4" s="10">
        <f t="shared" si="0"/>
        <v>45777</v>
      </c>
      <c r="C4" s="20">
        <f>COUNTIFS(Survey_Responses!$B$2:$B$21,"&gt;="&amp;A4,Survey_Responses!$B$2:$B$21,"&lt;="&amp;B4)</f>
        <v>1</v>
      </c>
      <c r="D4" s="13">
        <f>COUNTIFS(Survey_Responses!$G$2:$G$21,"&gt;=9",Survey_Responses!$B$2:$B$21,"&gt;="&amp;A4,Survey_Responses!$B$2:$B$21,"&lt;="&amp;B4)</f>
        <v>0</v>
      </c>
      <c r="E4" s="20">
        <f>COUNTIFS(Survey_Responses!$G$2:$G$21,"&lt;=6",Survey_Responses!$B$2:$B$21,"&gt;="&amp;A4,Survey_Responses!$B$2:$B$21,"&lt;="&amp;B4)</f>
        <v>1</v>
      </c>
      <c r="F4" s="13">
        <f>COUNTIFS(Survey_Responses!$G$2:$G$21,"&gt;=7",Survey_Responses!$G$2:$G$21,"&lt;=8",Survey_Responses!$B$2:$B$21,"&gt;="&amp;A4,Survey_Responses!$B$2:$B$21,"&lt;="&amp;B4)</f>
        <v>0</v>
      </c>
      <c r="G4" s="26">
        <f t="shared" si="1"/>
        <v>-100</v>
      </c>
      <c r="I4" s="31" t="s">
        <v>155</v>
      </c>
      <c r="J4" s="33">
        <f>COUNTIF(Survey_Responses!$G$2:$G$21, "&lt;=6")</f>
        <v>3</v>
      </c>
    </row>
    <row r="5" spans="1:10">
      <c r="A5" s="37">
        <v>45778</v>
      </c>
      <c r="B5" s="10">
        <f t="shared" si="0"/>
        <v>45808</v>
      </c>
      <c r="C5" s="20">
        <f>COUNTIFS(Survey_Responses!$B$2:$B$21,"&gt;="&amp;A5,Survey_Responses!$B$2:$B$21,"&lt;="&amp;B5)</f>
        <v>5</v>
      </c>
      <c r="D5" s="13">
        <f>COUNTIFS(Survey_Responses!$G$2:$G$21,"&gt;=9",Survey_Responses!$B$2:$B$21,"&gt;="&amp;A5,Survey_Responses!$B$2:$B$21,"&lt;="&amp;B5)</f>
        <v>2</v>
      </c>
      <c r="E5" s="20">
        <f>COUNTIFS(Survey_Responses!$G$2:$G$21,"&lt;=6",Survey_Responses!$B$2:$B$21,"&gt;="&amp;A5,Survey_Responses!$B$2:$B$21,"&lt;="&amp;B5)</f>
        <v>0</v>
      </c>
      <c r="F5" s="13">
        <f>COUNTIFS(Survey_Responses!$G$2:$G$21,"&gt;=7",Survey_Responses!$G$2:$G$21,"&lt;=8",Survey_Responses!$B$2:$B$21,"&gt;="&amp;A5,Survey_Responses!$B$2:$B$21,"&lt;="&amp;B5)</f>
        <v>3</v>
      </c>
      <c r="G5" s="26">
        <f t="shared" si="1"/>
        <v>40</v>
      </c>
      <c r="I5" s="31" t="s">
        <v>156</v>
      </c>
      <c r="J5" s="33">
        <f>COUNTIFS(Survey_Responses!$G$2:$G$21, "&gt;=7", Survey_Responses!$G$2:$G$21, "&lt;=8")</f>
        <v>13</v>
      </c>
    </row>
    <row r="6" spans="1:10">
      <c r="A6" s="37">
        <v>45809</v>
      </c>
      <c r="B6" s="10">
        <f t="shared" si="0"/>
        <v>45838</v>
      </c>
      <c r="C6" s="20">
        <f>COUNTIFS(Survey_Responses!$B$2:$B$21,"&gt;="&amp;A6,Survey_Responses!$B$2:$B$21,"&lt;="&amp;B6)</f>
        <v>6</v>
      </c>
      <c r="D6" s="13">
        <f>COUNTIFS(Survey_Responses!$G$2:$G$21,"&gt;=9",Survey_Responses!$B$2:$B$21,"&gt;="&amp;A6,Survey_Responses!$B$2:$B$21,"&lt;="&amp;B6)</f>
        <v>2</v>
      </c>
      <c r="E6" s="20">
        <f>COUNTIFS(Survey_Responses!$G$2:$G$21,"&lt;=6",Survey_Responses!$B$2:$B$21,"&gt;="&amp;A6,Survey_Responses!$B$2:$B$21,"&lt;="&amp;B6)</f>
        <v>1</v>
      </c>
      <c r="F6" s="13">
        <f>COUNTIFS(Survey_Responses!$G$2:$G$21,"&gt;=7",Survey_Responses!$G$2:$G$21,"&lt;=8",Survey_Responses!$B$2:$B$21,"&gt;="&amp;A6,Survey_Responses!$B$2:$B$21,"&lt;="&amp;B6)</f>
        <v>3</v>
      </c>
      <c r="G6" s="26">
        <f t="shared" si="1"/>
        <v>16.666666666666664</v>
      </c>
      <c r="I6" s="32" t="s">
        <v>160</v>
      </c>
      <c r="J6" s="35">
        <f>IF($J$2=0,0, (($J$3/$J$2)-($J$4/$J$2))*100 )</f>
        <v>5.0000000000000018</v>
      </c>
    </row>
    <row r="7" spans="1:10">
      <c r="A7" s="38">
        <v>45839</v>
      </c>
      <c r="B7" s="11">
        <f t="shared" si="0"/>
        <v>45869</v>
      </c>
      <c r="C7" s="21">
        <f>COUNTIFS(Survey_Responses!$B$2:$B$21,"&gt;="&amp;A7,Survey_Responses!$B$2:$B$21,"&lt;="&amp;B7)</f>
        <v>3</v>
      </c>
      <c r="D7" s="14">
        <f>COUNTIFS(Survey_Responses!$G$2:$G$21,"&gt;=9",Survey_Responses!$B$2:$B$21,"&gt;="&amp;A7,Survey_Responses!$B$2:$B$21,"&lt;="&amp;B7)</f>
        <v>0</v>
      </c>
      <c r="E7" s="21">
        <f>COUNTIFS(Survey_Responses!$G$2:$G$21,"&lt;=6",Survey_Responses!$B$2:$B$21,"&gt;="&amp;A7,Survey_Responses!$B$2:$B$21,"&lt;="&amp;B7)</f>
        <v>0</v>
      </c>
      <c r="F7" s="14">
        <f>COUNTIFS(Survey_Responses!$G$2:$G$21,"&gt;=7",Survey_Responses!$G$2:$G$21,"&lt;=8",Survey_Responses!$B$2:$B$21,"&gt;="&amp;A7,Survey_Responses!$B$2:$B$21,"&lt;="&amp;B7)</f>
        <v>3</v>
      </c>
      <c r="G7" s="27">
        <f t="shared" si="1"/>
        <v>0</v>
      </c>
    </row>
  </sheetData>
  <mergeCells count="1">
    <mergeCell ref="I1:J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9"/>
  <sheetViews>
    <sheetView tabSelected="1" workbookViewId="0">
      <selection activeCell="G20" sqref="G20"/>
    </sheetView>
  </sheetViews>
  <sheetFormatPr defaultRowHeight="15"/>
  <cols>
    <col min="1" max="2" width="14.7109375" customWidth="1"/>
    <col min="3" max="5" width="22.7109375" customWidth="1"/>
    <col min="6" max="6" width="25.140625" customWidth="1"/>
    <col min="7" max="9" width="22.7109375" customWidth="1"/>
    <col min="11" max="11" width="34.140625" bestFit="1" customWidth="1"/>
    <col min="12" max="12" width="10.42578125" bestFit="1" customWidth="1"/>
  </cols>
  <sheetData>
    <row r="1" spans="1:12">
      <c r="A1" s="23" t="s">
        <v>151</v>
      </c>
      <c r="B1" s="8" t="s">
        <v>152</v>
      </c>
      <c r="C1" s="24" t="s">
        <v>161</v>
      </c>
      <c r="D1" s="8" t="s">
        <v>121</v>
      </c>
      <c r="E1" s="24" t="s">
        <v>162</v>
      </c>
      <c r="F1" s="8" t="s">
        <v>163</v>
      </c>
      <c r="G1" s="24" t="s">
        <v>164</v>
      </c>
      <c r="H1" s="8" t="s">
        <v>154</v>
      </c>
      <c r="I1" s="25" t="s">
        <v>165</v>
      </c>
      <c r="K1" s="58" t="s">
        <v>166</v>
      </c>
      <c r="L1" s="59"/>
    </row>
    <row r="2" spans="1:12">
      <c r="A2" s="37">
        <v>45689</v>
      </c>
      <c r="B2" s="10">
        <f t="shared" ref="B2:B7" si="0">EOMONTH(A2,0)</f>
        <v>45716</v>
      </c>
      <c r="C2" s="20">
        <f>COUNTIFS(Referral_Deals!$D$2:$D$21,"&gt;="&amp;A2,Referral_Deals!$D$2:$D$21,"&lt;="&amp;B2)</f>
        <v>3</v>
      </c>
      <c r="D2" s="13">
        <f>COUNTIFS(Referral_Deals!$F$2:$F$21,"Yes",Referral_Deals!$D$2:$D$21,"&gt;="&amp;A2,Referral_Deals!$D$2:$D$21,"&lt;="&amp;B2)</f>
        <v>0</v>
      </c>
      <c r="E2" s="46">
        <f t="shared" ref="E2:E7" si="1">IF(C2=0,0,D2/C2)</f>
        <v>0</v>
      </c>
      <c r="F2" s="13">
        <f>SUMIFS(Referral_Deals!$I$2:$I$21, Referral_Deals!$F$2:$F$21, "Yes",Referral_Deals!$D$2:$D$21, "&gt;="&amp;A2,Referral_Deals!$D$2:$D$21, "&lt;="&amp;B2)</f>
        <v>0</v>
      </c>
      <c r="G2" s="20">
        <f t="shared" ref="G2:G7" si="2">IF(D2=0,0,F2/D2)</f>
        <v>0</v>
      </c>
      <c r="H2" s="13">
        <f>NPS_Summary!D2</f>
        <v>0</v>
      </c>
      <c r="I2" s="26">
        <f t="shared" ref="I2:I7" si="3">IF(H2=0,0,C2/H2)</f>
        <v>0</v>
      </c>
      <c r="K2" s="12" t="s">
        <v>167</v>
      </c>
      <c r="L2" s="26">
        <f ca="1">TODAY()-90</f>
        <v>45856</v>
      </c>
    </row>
    <row r="3" spans="1:12">
      <c r="A3" s="37">
        <v>45717</v>
      </c>
      <c r="B3" s="10">
        <f t="shared" si="0"/>
        <v>45747</v>
      </c>
      <c r="C3" s="20">
        <f>COUNTIFS(Referral_Deals!$D$2:$D$21,"&gt;="&amp;A3,Referral_Deals!$D$2:$D$21,"&lt;="&amp;B3)</f>
        <v>3</v>
      </c>
      <c r="D3" s="13">
        <f>COUNTIFS(Referral_Deals!$F$2:$F$21,"Yes",Referral_Deals!$D$2:$D$21,"&gt;="&amp;A3,Referral_Deals!$D$2:$D$21,"&lt;="&amp;B3)</f>
        <v>2</v>
      </c>
      <c r="E3" s="46">
        <f t="shared" si="1"/>
        <v>0.66666666666666663</v>
      </c>
      <c r="F3" s="13">
        <f>SUMIFS(Referral_Deals!$I$2:$I$21, Referral_Deals!$F$2:$F$21, "Yes",Referral_Deals!$D$2:$D$21, "&gt;="&amp;A3,Referral_Deals!$D$2:$D$21, "&lt;="&amp;B3)</f>
        <v>34600.340000000004</v>
      </c>
      <c r="G3" s="20">
        <f t="shared" si="2"/>
        <v>17300.170000000002</v>
      </c>
      <c r="H3" s="13">
        <f>NPS_Summary!D3</f>
        <v>0</v>
      </c>
      <c r="I3" s="26">
        <f t="shared" si="3"/>
        <v>0</v>
      </c>
      <c r="K3" s="13" t="s">
        <v>168</v>
      </c>
      <c r="L3" s="26">
        <f ca="1">TODAY()</f>
        <v>45946</v>
      </c>
    </row>
    <row r="4" spans="1:12">
      <c r="A4" s="37">
        <v>45748</v>
      </c>
      <c r="B4" s="10">
        <f t="shared" si="0"/>
        <v>45777</v>
      </c>
      <c r="C4" s="20">
        <f>COUNTIFS(Referral_Deals!$D$2:$D$21,"&gt;="&amp;A4,Referral_Deals!$D$2:$D$21,"&lt;="&amp;B4)</f>
        <v>3</v>
      </c>
      <c r="D4" s="13">
        <f>COUNTIFS(Referral_Deals!$F$2:$F$21,"Yes",Referral_Deals!$D$2:$D$21,"&gt;="&amp;A4,Referral_Deals!$D$2:$D$21,"&lt;="&amp;B4)</f>
        <v>1</v>
      </c>
      <c r="E4" s="46">
        <f t="shared" si="1"/>
        <v>0.33333333333333331</v>
      </c>
      <c r="F4" s="13">
        <f>SUMIFS(Referral_Deals!$I$2:$I$21, Referral_Deals!$F$2:$F$21, "Yes",Referral_Deals!$D$2:$D$21, "&gt;="&amp;A4,Referral_Deals!$D$2:$D$21, "&lt;="&amp;B4)</f>
        <v>18730.63</v>
      </c>
      <c r="G4" s="20">
        <f t="shared" si="2"/>
        <v>18730.63</v>
      </c>
      <c r="H4" s="13">
        <f>NPS_Summary!D4</f>
        <v>0</v>
      </c>
      <c r="I4" s="26">
        <f t="shared" si="3"/>
        <v>0</v>
      </c>
      <c r="K4" s="13" t="s">
        <v>169</v>
      </c>
      <c r="L4" s="26">
        <f ca="1">COUNTIFS(Referral_Deals!$D$2:$D$21, "&gt;="&amp;L2, Referral_Deals!$D$2:$D$21, "&lt;="&amp;L3)</f>
        <v>2</v>
      </c>
    </row>
    <row r="5" spans="1:12">
      <c r="A5" s="37">
        <v>45778</v>
      </c>
      <c r="B5" s="10">
        <f t="shared" si="0"/>
        <v>45808</v>
      </c>
      <c r="C5" s="20">
        <f>COUNTIFS(Referral_Deals!$D$2:$D$21,"&gt;="&amp;A5,Referral_Deals!$D$2:$D$21,"&lt;="&amp;B5)</f>
        <v>3</v>
      </c>
      <c r="D5" s="13">
        <f>COUNTIFS(Referral_Deals!$F$2:$F$21,"Yes",Referral_Deals!$D$2:$D$21,"&gt;="&amp;A5,Referral_Deals!$D$2:$D$21,"&lt;="&amp;B5)</f>
        <v>2</v>
      </c>
      <c r="E5" s="46">
        <f t="shared" si="1"/>
        <v>0.66666666666666663</v>
      </c>
      <c r="F5" s="13">
        <f>SUMIFS(Referral_Deals!$I$2:$I$21, Referral_Deals!$F$2:$F$21, "Yes",Referral_Deals!$D$2:$D$21, "&gt;="&amp;A5,Referral_Deals!$D$2:$D$21, "&lt;="&amp;B5)</f>
        <v>23346.350000000002</v>
      </c>
      <c r="G5" s="20">
        <f t="shared" si="2"/>
        <v>11673.175000000001</v>
      </c>
      <c r="H5" s="13">
        <f>NPS_Summary!D5</f>
        <v>2</v>
      </c>
      <c r="I5" s="26">
        <f t="shared" si="3"/>
        <v>1.5</v>
      </c>
      <c r="K5" s="13" t="s">
        <v>170</v>
      </c>
      <c r="L5" s="26">
        <f ca="1">COUNTIFS(Referral_Deals!$F$2:$F$21, "Yes", Referral_Deals!$D$2:$D$21, "&gt;="&amp;L2, Referral_Deals!$D$2:$D$21, "&lt;="&amp;L3)</f>
        <v>1</v>
      </c>
    </row>
    <row r="6" spans="1:12">
      <c r="A6" s="37">
        <v>45809</v>
      </c>
      <c r="B6" s="10">
        <f t="shared" si="0"/>
        <v>45838</v>
      </c>
      <c r="C6" s="20">
        <f>COUNTIFS(Referral_Deals!$D$2:$D$21,"&gt;="&amp;A6,Referral_Deals!$D$2:$D$21,"&lt;="&amp;B6)</f>
        <v>3</v>
      </c>
      <c r="D6" s="13">
        <f>COUNTIFS(Referral_Deals!$F$2:$F$21,"Yes",Referral_Deals!$D$2:$D$21,"&gt;="&amp;A6,Referral_Deals!$D$2:$D$21,"&lt;="&amp;B6)</f>
        <v>1</v>
      </c>
      <c r="E6" s="46">
        <f t="shared" si="1"/>
        <v>0.33333333333333331</v>
      </c>
      <c r="F6" s="13">
        <f>SUMIFS(Referral_Deals!$I$2:$I$21, Referral_Deals!$F$2:$F$21, "Yes",Referral_Deals!$D$2:$D$21, "&gt;="&amp;A6,Referral_Deals!$D$2:$D$21, "&lt;="&amp;B6)</f>
        <v>21016.78</v>
      </c>
      <c r="G6" s="20">
        <f t="shared" si="2"/>
        <v>21016.78</v>
      </c>
      <c r="H6" s="13">
        <f>NPS_Summary!D6</f>
        <v>2</v>
      </c>
      <c r="I6" s="26">
        <f t="shared" si="3"/>
        <v>1.5</v>
      </c>
      <c r="K6" s="13" t="s">
        <v>171</v>
      </c>
      <c r="L6" s="54">
        <f ca="1">IF(L4=0,0,L5/L4)</f>
        <v>0.5</v>
      </c>
    </row>
    <row r="7" spans="1:12">
      <c r="A7" s="38">
        <v>45839</v>
      </c>
      <c r="B7" s="11">
        <f t="shared" si="0"/>
        <v>45869</v>
      </c>
      <c r="C7" s="21">
        <f>COUNTIFS(Referral_Deals!$D$2:$D$21,"&gt;="&amp;A7,Referral_Deals!$D$2:$D$21,"&lt;="&amp;B7)</f>
        <v>5</v>
      </c>
      <c r="D7" s="14">
        <f>COUNTIFS(Referral_Deals!$F$2:$F$21,"Yes",Referral_Deals!$D$2:$D$21,"&gt;="&amp;A7,Referral_Deals!$D$2:$D$21,"&lt;="&amp;B7)</f>
        <v>4</v>
      </c>
      <c r="E7" s="47">
        <f t="shared" si="1"/>
        <v>0.8</v>
      </c>
      <c r="F7" s="14">
        <f>SUMIFS(Referral_Deals!$I$2:$I$21, Referral_Deals!$F$2:$F$21, "Yes",Referral_Deals!$D$2:$D$21, "&gt;="&amp;A7,Referral_Deals!$D$2:$D$21, "&lt;="&amp;B7)</f>
        <v>53508.81</v>
      </c>
      <c r="G7" s="21">
        <f t="shared" si="2"/>
        <v>13377.202499999999</v>
      </c>
      <c r="H7" s="14">
        <f>NPS_Summary!D7</f>
        <v>0</v>
      </c>
      <c r="I7" s="27">
        <f t="shared" si="3"/>
        <v>0</v>
      </c>
      <c r="K7" s="13" t="s">
        <v>172</v>
      </c>
      <c r="L7" s="54">
        <f ca="1">SUMIFS(Referral_Deals!$I$2:$I$21, Referral_Deals!$F$2:$F$21, "Yes", Referral_Deals!$D$2:$D$21, "&gt;="&amp;L2, Referral_Deals!$D$2:$D$21, "&lt;="&amp;L3)</f>
        <v>16713.75</v>
      </c>
    </row>
    <row r="8" spans="1:12">
      <c r="K8" s="13" t="s">
        <v>173</v>
      </c>
      <c r="L8" s="54">
        <f ca="1">IF(L5=0,0,L6/L5)</f>
        <v>0.5</v>
      </c>
    </row>
    <row r="9" spans="1:12">
      <c r="K9" s="14" t="s">
        <v>174</v>
      </c>
      <c r="L9" s="55">
        <f ca="1">SUMIFS(Referral_Deals!$K$2:$K$21, Referral_Deals!$F$2:$F$21, "No", Referral_Deals!$D$2:$D$21, "&gt;="&amp;L2, Referral_Deals!$D$2:$D$21, "&lt;="&amp;L3)</f>
        <v>224589.6</v>
      </c>
    </row>
  </sheetData>
  <mergeCells count="1">
    <mergeCell ref="K1:L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4"/>
  <sheetViews>
    <sheetView workbookViewId="0">
      <selection sqref="A1:B4"/>
    </sheetView>
  </sheetViews>
  <sheetFormatPr defaultRowHeight="15"/>
  <cols>
    <col min="1" max="1" width="30.28515625" customWidth="1"/>
    <col min="2" max="2" width="28.85546875" customWidth="1"/>
  </cols>
  <sheetData>
    <row r="1" spans="1:2" ht="15.75">
      <c r="A1" s="42" t="s">
        <v>160</v>
      </c>
      <c r="B1" s="43">
        <f>NPS_Summary!J6</f>
        <v>5.0000000000000018</v>
      </c>
    </row>
    <row r="2" spans="1:2">
      <c r="A2" s="44" t="s">
        <v>175</v>
      </c>
      <c r="B2" s="39">
        <f ca="1">Referral_Metrics!L6</f>
        <v>0.5</v>
      </c>
    </row>
    <row r="3" spans="1:2">
      <c r="A3" s="16" t="s">
        <v>176</v>
      </c>
      <c r="B3" s="40">
        <f ca="1">Referral_Metrics!L8</f>
        <v>0.5</v>
      </c>
    </row>
    <row r="4" spans="1:2">
      <c r="A4" s="17" t="s">
        <v>177</v>
      </c>
      <c r="B4" s="41">
        <f ca="1">Referral_Metrics!L9</f>
        <v>224589.6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R20"/>
  <sheetViews>
    <sheetView topLeftCell="G1" workbookViewId="0">
      <selection activeCell="K24" sqref="K24"/>
    </sheetView>
  </sheetViews>
  <sheetFormatPr defaultRowHeight="15"/>
  <cols>
    <col min="1" max="1" width="11.42578125" customWidth="1"/>
    <col min="2" max="2" width="12.28515625" customWidth="1"/>
    <col min="3" max="3" width="15.85546875" customWidth="1"/>
    <col min="4" max="4" width="14.7109375" customWidth="1"/>
    <col min="5" max="5" width="21" customWidth="1"/>
    <col min="6" max="6" width="12" customWidth="1"/>
    <col min="7" max="7" width="14.5703125" customWidth="1"/>
    <col min="8" max="8" width="44.7109375" customWidth="1"/>
    <col min="9" max="9" width="16.42578125" customWidth="1"/>
    <col min="10" max="10" width="12.28515625" customWidth="1"/>
    <col min="11" max="11" width="23.5703125" customWidth="1"/>
    <col min="12" max="12" width="11" customWidth="1"/>
    <col min="13" max="13" width="18.140625" customWidth="1"/>
    <col min="14" max="14" width="17" customWidth="1"/>
    <col min="15" max="15" width="11.140625" customWidth="1"/>
    <col min="16" max="16" width="11.5703125" customWidth="1"/>
    <col min="17" max="17" width="37" bestFit="1" customWidth="1"/>
    <col min="18" max="18" width="17.42578125" customWidth="1"/>
  </cols>
  <sheetData>
    <row r="1" spans="1:18">
      <c r="A1" s="23" t="s">
        <v>178</v>
      </c>
      <c r="B1" s="8" t="s">
        <v>12</v>
      </c>
      <c r="C1" s="24" t="s">
        <v>179</v>
      </c>
      <c r="D1" s="8" t="s">
        <v>180</v>
      </c>
      <c r="E1" s="24" t="s">
        <v>181</v>
      </c>
      <c r="F1" s="8" t="s">
        <v>182</v>
      </c>
      <c r="G1" s="24" t="s">
        <v>183</v>
      </c>
      <c r="H1" s="8" t="s">
        <v>184</v>
      </c>
      <c r="I1" s="24" t="s">
        <v>185</v>
      </c>
      <c r="J1" s="8" t="s">
        <v>186</v>
      </c>
      <c r="K1" s="24" t="s">
        <v>187</v>
      </c>
      <c r="L1" s="8" t="s">
        <v>188</v>
      </c>
      <c r="M1" s="24" t="s">
        <v>189</v>
      </c>
      <c r="N1" s="8" t="s">
        <v>190</v>
      </c>
      <c r="O1" s="24" t="s">
        <v>191</v>
      </c>
      <c r="P1" s="8" t="s">
        <v>192</v>
      </c>
      <c r="Q1" s="24" t="s">
        <v>193</v>
      </c>
      <c r="R1" s="8" t="s">
        <v>194</v>
      </c>
    </row>
    <row r="2" spans="1:18" s="5" customFormat="1">
      <c r="A2" s="16" t="s">
        <v>195</v>
      </c>
      <c r="B2" s="13" t="s">
        <v>26</v>
      </c>
      <c r="C2" s="50">
        <v>45718</v>
      </c>
      <c r="D2" s="10">
        <v>45720</v>
      </c>
      <c r="E2" s="20" t="s">
        <v>196</v>
      </c>
      <c r="F2" s="13" t="s">
        <v>197</v>
      </c>
      <c r="G2" s="20">
        <v>5</v>
      </c>
      <c r="H2" s="13" t="s">
        <v>198</v>
      </c>
      <c r="I2" s="20" t="s">
        <v>199</v>
      </c>
      <c r="J2" s="13">
        <v>72</v>
      </c>
      <c r="K2" s="20">
        <v>46</v>
      </c>
      <c r="L2" s="13" t="s">
        <v>200</v>
      </c>
      <c r="M2" s="20">
        <v>50</v>
      </c>
      <c r="N2" s="13">
        <v>4</v>
      </c>
      <c r="O2" s="20">
        <v>8</v>
      </c>
      <c r="P2" s="13" t="s">
        <v>31</v>
      </c>
      <c r="Q2" s="20" t="s">
        <v>201</v>
      </c>
      <c r="R2" s="13" t="s">
        <v>74</v>
      </c>
    </row>
    <row r="3" spans="1:18" s="5" customFormat="1">
      <c r="A3" s="16" t="s">
        <v>202</v>
      </c>
      <c r="B3" s="13" t="s">
        <v>35</v>
      </c>
      <c r="C3" s="50">
        <v>45721</v>
      </c>
      <c r="D3" s="10">
        <v>45722</v>
      </c>
      <c r="E3" s="20" t="s">
        <v>203</v>
      </c>
      <c r="F3" s="13" t="s">
        <v>204</v>
      </c>
      <c r="G3" s="20">
        <v>4</v>
      </c>
      <c r="H3" s="13" t="s">
        <v>205</v>
      </c>
      <c r="I3" s="20" t="s">
        <v>206</v>
      </c>
      <c r="J3" s="13">
        <v>72</v>
      </c>
      <c r="K3" s="20">
        <v>28</v>
      </c>
      <c r="L3" s="13" t="s">
        <v>200</v>
      </c>
      <c r="M3" s="20">
        <v>0</v>
      </c>
      <c r="N3" s="13">
        <v>4</v>
      </c>
      <c r="O3" s="20">
        <v>7</v>
      </c>
      <c r="P3" s="13" t="s">
        <v>31</v>
      </c>
      <c r="Q3" s="20" t="s">
        <v>207</v>
      </c>
      <c r="R3" s="13" t="s">
        <v>208</v>
      </c>
    </row>
    <row r="4" spans="1:18" s="5" customFormat="1">
      <c r="A4" s="16" t="s">
        <v>209</v>
      </c>
      <c r="B4" s="13" t="s">
        <v>41</v>
      </c>
      <c r="C4" s="50">
        <v>45724</v>
      </c>
      <c r="D4" s="10">
        <v>45726</v>
      </c>
      <c r="E4" s="20" t="s">
        <v>210</v>
      </c>
      <c r="F4" s="13" t="s">
        <v>197</v>
      </c>
      <c r="G4" s="20">
        <v>6</v>
      </c>
      <c r="H4" s="13" t="s">
        <v>211</v>
      </c>
      <c r="I4" s="20" t="s">
        <v>212</v>
      </c>
      <c r="J4" s="13">
        <v>48</v>
      </c>
      <c r="K4" s="20">
        <v>36</v>
      </c>
      <c r="L4" s="13" t="s">
        <v>200</v>
      </c>
      <c r="M4" s="20">
        <v>0</v>
      </c>
      <c r="N4" s="13">
        <v>4</v>
      </c>
      <c r="O4" s="20">
        <v>7</v>
      </c>
      <c r="P4" s="13" t="s">
        <v>31</v>
      </c>
      <c r="Q4" s="20" t="s">
        <v>213</v>
      </c>
      <c r="R4" s="13" t="s">
        <v>214</v>
      </c>
    </row>
    <row r="5" spans="1:18" s="5" customFormat="1">
      <c r="A5" s="16" t="s">
        <v>215</v>
      </c>
      <c r="B5" s="13" t="s">
        <v>48</v>
      </c>
      <c r="C5" s="50">
        <v>45728</v>
      </c>
      <c r="D5" s="10">
        <v>45729</v>
      </c>
      <c r="E5" s="20" t="s">
        <v>216</v>
      </c>
      <c r="F5" s="13" t="s">
        <v>204</v>
      </c>
      <c r="G5" s="20">
        <v>3</v>
      </c>
      <c r="H5" s="13" t="s">
        <v>217</v>
      </c>
      <c r="I5" s="20" t="s">
        <v>218</v>
      </c>
      <c r="J5" s="13">
        <v>48</v>
      </c>
      <c r="K5" s="20">
        <v>20</v>
      </c>
      <c r="L5" s="13" t="s">
        <v>200</v>
      </c>
      <c r="M5" s="20">
        <v>100</v>
      </c>
      <c r="N5" s="13">
        <v>5</v>
      </c>
      <c r="O5" s="20">
        <v>9</v>
      </c>
      <c r="P5" s="13" t="s">
        <v>31</v>
      </c>
      <c r="Q5" s="20" t="s">
        <v>219</v>
      </c>
      <c r="R5" s="13" t="s">
        <v>220</v>
      </c>
    </row>
    <row r="6" spans="1:18" s="5" customFormat="1">
      <c r="A6" s="16" t="s">
        <v>221</v>
      </c>
      <c r="B6" s="13" t="s">
        <v>56</v>
      </c>
      <c r="C6" s="50">
        <v>45731</v>
      </c>
      <c r="D6" s="10">
        <v>45733</v>
      </c>
      <c r="E6" s="20" t="s">
        <v>222</v>
      </c>
      <c r="F6" s="13" t="s">
        <v>197</v>
      </c>
      <c r="G6" s="20">
        <v>6</v>
      </c>
      <c r="H6" s="13" t="s">
        <v>223</v>
      </c>
      <c r="I6" s="20" t="s">
        <v>218</v>
      </c>
      <c r="J6" s="13">
        <v>72</v>
      </c>
      <c r="K6" s="20">
        <v>52</v>
      </c>
      <c r="L6" s="13" t="s">
        <v>200</v>
      </c>
      <c r="M6" s="20">
        <v>0</v>
      </c>
      <c r="N6" s="13">
        <v>4</v>
      </c>
      <c r="O6" s="20">
        <v>7</v>
      </c>
      <c r="P6" s="13" t="s">
        <v>31</v>
      </c>
      <c r="Q6" s="20" t="s">
        <v>224</v>
      </c>
      <c r="R6" s="13" t="s">
        <v>32</v>
      </c>
    </row>
    <row r="7" spans="1:18" s="5" customFormat="1">
      <c r="A7" s="16" t="s">
        <v>225</v>
      </c>
      <c r="B7" s="13" t="s">
        <v>61</v>
      </c>
      <c r="C7" s="50">
        <v>45734</v>
      </c>
      <c r="D7" s="10">
        <v>45735</v>
      </c>
      <c r="E7" s="20" t="s">
        <v>226</v>
      </c>
      <c r="F7" s="13" t="s">
        <v>204</v>
      </c>
      <c r="G7" s="20">
        <v>2</v>
      </c>
      <c r="H7" s="13" t="s">
        <v>227</v>
      </c>
      <c r="I7" s="20" t="s">
        <v>206</v>
      </c>
      <c r="J7" s="13">
        <v>48</v>
      </c>
      <c r="K7" s="20">
        <v>18</v>
      </c>
      <c r="L7" s="13" t="s">
        <v>200</v>
      </c>
      <c r="M7" s="20">
        <v>0</v>
      </c>
      <c r="N7" s="13">
        <v>4</v>
      </c>
      <c r="O7" s="20">
        <v>8</v>
      </c>
      <c r="P7" s="13" t="s">
        <v>31</v>
      </c>
      <c r="Q7" s="20" t="s">
        <v>228</v>
      </c>
      <c r="R7" s="13" t="s">
        <v>229</v>
      </c>
    </row>
    <row r="8" spans="1:18" s="5" customFormat="1">
      <c r="A8" s="16" t="s">
        <v>230</v>
      </c>
      <c r="B8" s="13" t="s">
        <v>67</v>
      </c>
      <c r="C8" s="50">
        <v>45738</v>
      </c>
      <c r="D8" s="10">
        <v>45740</v>
      </c>
      <c r="E8" s="20" t="s">
        <v>196</v>
      </c>
      <c r="F8" s="13" t="s">
        <v>197</v>
      </c>
      <c r="G8" s="20">
        <v>5</v>
      </c>
      <c r="H8" s="13" t="s">
        <v>231</v>
      </c>
      <c r="I8" s="20" t="s">
        <v>199</v>
      </c>
      <c r="J8" s="13">
        <v>72</v>
      </c>
      <c r="K8" s="20">
        <v>40</v>
      </c>
      <c r="L8" s="13" t="s">
        <v>200</v>
      </c>
      <c r="M8" s="20">
        <v>50</v>
      </c>
      <c r="N8" s="13">
        <v>4</v>
      </c>
      <c r="O8" s="20">
        <v>7</v>
      </c>
      <c r="P8" s="13" t="s">
        <v>31</v>
      </c>
      <c r="Q8" s="20" t="s">
        <v>232</v>
      </c>
      <c r="R8" s="13" t="s">
        <v>74</v>
      </c>
    </row>
    <row r="9" spans="1:18" s="5" customFormat="1">
      <c r="A9" s="16" t="s">
        <v>233</v>
      </c>
      <c r="B9" s="13" t="s">
        <v>71</v>
      </c>
      <c r="C9" s="50">
        <v>45742</v>
      </c>
      <c r="D9" s="10">
        <v>45744</v>
      </c>
      <c r="E9" s="20" t="s">
        <v>234</v>
      </c>
      <c r="F9" s="13" t="s">
        <v>204</v>
      </c>
      <c r="G9" s="20">
        <v>1</v>
      </c>
      <c r="H9" s="13" t="s">
        <v>235</v>
      </c>
      <c r="I9" s="20" t="s">
        <v>218</v>
      </c>
      <c r="J9" s="13">
        <v>72</v>
      </c>
      <c r="K9" s="20">
        <v>55</v>
      </c>
      <c r="L9" s="13" t="s">
        <v>200</v>
      </c>
      <c r="M9" s="20">
        <v>0</v>
      </c>
      <c r="N9" s="13">
        <v>3</v>
      </c>
      <c r="O9" s="20">
        <v>6</v>
      </c>
      <c r="P9" s="13" t="s">
        <v>38</v>
      </c>
      <c r="Q9" s="20" t="s">
        <v>236</v>
      </c>
      <c r="R9" s="13" t="s">
        <v>208</v>
      </c>
    </row>
    <row r="10" spans="1:18" s="5" customFormat="1">
      <c r="A10" s="16" t="s">
        <v>237</v>
      </c>
      <c r="B10" s="13" t="s">
        <v>77</v>
      </c>
      <c r="C10" s="50">
        <v>45746</v>
      </c>
      <c r="D10" s="10">
        <v>45748</v>
      </c>
      <c r="E10" s="20" t="s">
        <v>238</v>
      </c>
      <c r="F10" s="13" t="s">
        <v>204</v>
      </c>
      <c r="G10" s="20">
        <v>4</v>
      </c>
      <c r="H10" s="13" t="s">
        <v>239</v>
      </c>
      <c r="I10" s="20" t="s">
        <v>212</v>
      </c>
      <c r="J10" s="13">
        <v>48</v>
      </c>
      <c r="K10" s="20">
        <v>44</v>
      </c>
      <c r="L10" s="13" t="s">
        <v>200</v>
      </c>
      <c r="M10" s="20">
        <v>0</v>
      </c>
      <c r="N10" s="13">
        <v>4</v>
      </c>
      <c r="O10" s="20">
        <v>7</v>
      </c>
      <c r="P10" s="13" t="s">
        <v>31</v>
      </c>
      <c r="Q10" s="20" t="s">
        <v>240</v>
      </c>
      <c r="R10" s="13" t="s">
        <v>214</v>
      </c>
    </row>
    <row r="11" spans="1:18" s="5" customFormat="1">
      <c r="A11" s="16" t="s">
        <v>241</v>
      </c>
      <c r="B11" s="13" t="s">
        <v>80</v>
      </c>
      <c r="C11" s="50">
        <v>45750</v>
      </c>
      <c r="D11" s="10">
        <v>45751</v>
      </c>
      <c r="E11" s="20" t="s">
        <v>216</v>
      </c>
      <c r="F11" s="13" t="s">
        <v>197</v>
      </c>
      <c r="G11" s="20">
        <v>6</v>
      </c>
      <c r="H11" s="13" t="s">
        <v>242</v>
      </c>
      <c r="I11" s="20" t="s">
        <v>218</v>
      </c>
      <c r="J11" s="13">
        <v>48</v>
      </c>
      <c r="K11" s="20">
        <v>22</v>
      </c>
      <c r="L11" s="13" t="s">
        <v>200</v>
      </c>
      <c r="M11" s="20">
        <v>50</v>
      </c>
      <c r="N11" s="13">
        <v>5</v>
      </c>
      <c r="O11" s="20">
        <v>8</v>
      </c>
      <c r="P11" s="13" t="s">
        <v>31</v>
      </c>
      <c r="Q11" s="20" t="s">
        <v>243</v>
      </c>
      <c r="R11" s="13" t="s">
        <v>220</v>
      </c>
    </row>
    <row r="12" spans="1:18" s="5" customFormat="1">
      <c r="A12" s="16" t="s">
        <v>244</v>
      </c>
      <c r="B12" s="13" t="s">
        <v>86</v>
      </c>
      <c r="C12" s="50">
        <v>45754</v>
      </c>
      <c r="D12" s="10">
        <v>45756</v>
      </c>
      <c r="E12" s="20" t="s">
        <v>222</v>
      </c>
      <c r="F12" s="13" t="s">
        <v>204</v>
      </c>
      <c r="G12" s="20">
        <v>3</v>
      </c>
      <c r="H12" s="13" t="s">
        <v>245</v>
      </c>
      <c r="I12" s="20" t="s">
        <v>218</v>
      </c>
      <c r="J12" s="13">
        <v>72</v>
      </c>
      <c r="K12" s="20">
        <v>60</v>
      </c>
      <c r="L12" s="13" t="s">
        <v>200</v>
      </c>
      <c r="M12" s="20">
        <v>0</v>
      </c>
      <c r="N12" s="13">
        <v>4</v>
      </c>
      <c r="O12" s="20">
        <v>7</v>
      </c>
      <c r="P12" s="13" t="s">
        <v>31</v>
      </c>
      <c r="Q12" s="20" t="s">
        <v>246</v>
      </c>
      <c r="R12" s="13" t="s">
        <v>32</v>
      </c>
    </row>
    <row r="13" spans="1:18" s="5" customFormat="1">
      <c r="A13" s="16" t="s">
        <v>247</v>
      </c>
      <c r="B13" s="13" t="s">
        <v>89</v>
      </c>
      <c r="C13" s="50">
        <v>45759</v>
      </c>
      <c r="D13" s="10">
        <v>45760</v>
      </c>
      <c r="E13" s="20" t="s">
        <v>196</v>
      </c>
      <c r="F13" s="13" t="s">
        <v>197</v>
      </c>
      <c r="G13" s="20">
        <v>5</v>
      </c>
      <c r="H13" s="13" t="s">
        <v>248</v>
      </c>
      <c r="I13" s="20" t="s">
        <v>199</v>
      </c>
      <c r="J13" s="13">
        <v>72</v>
      </c>
      <c r="K13" s="20">
        <v>26</v>
      </c>
      <c r="L13" s="13" t="s">
        <v>200</v>
      </c>
      <c r="M13" s="20">
        <v>0</v>
      </c>
      <c r="N13" s="13">
        <v>4</v>
      </c>
      <c r="O13" s="20">
        <v>7</v>
      </c>
      <c r="P13" s="13" t="s">
        <v>31</v>
      </c>
      <c r="Q13" s="20" t="s">
        <v>249</v>
      </c>
      <c r="R13" s="13" t="s">
        <v>74</v>
      </c>
    </row>
    <row r="14" spans="1:18" s="5" customFormat="1">
      <c r="A14" s="16" t="s">
        <v>250</v>
      </c>
      <c r="B14" s="13" t="s">
        <v>92</v>
      </c>
      <c r="C14" s="50">
        <v>45763</v>
      </c>
      <c r="D14" s="10">
        <v>45765</v>
      </c>
      <c r="E14" s="20" t="s">
        <v>210</v>
      </c>
      <c r="F14" s="13" t="s">
        <v>197</v>
      </c>
      <c r="G14" s="20">
        <v>6</v>
      </c>
      <c r="H14" s="13" t="s">
        <v>251</v>
      </c>
      <c r="I14" s="20" t="s">
        <v>212</v>
      </c>
      <c r="J14" s="13">
        <v>48</v>
      </c>
      <c r="K14" s="20">
        <v>41</v>
      </c>
      <c r="L14" s="13" t="s">
        <v>200</v>
      </c>
      <c r="M14" s="20">
        <v>0</v>
      </c>
      <c r="N14" s="13">
        <v>4</v>
      </c>
      <c r="O14" s="20">
        <v>7</v>
      </c>
      <c r="P14" s="13" t="s">
        <v>31</v>
      </c>
      <c r="Q14" s="20" t="s">
        <v>252</v>
      </c>
      <c r="R14" s="13" t="s">
        <v>214</v>
      </c>
    </row>
    <row r="15" spans="1:18" s="5" customFormat="1">
      <c r="A15" s="16" t="s">
        <v>253</v>
      </c>
      <c r="B15" s="13" t="s">
        <v>95</v>
      </c>
      <c r="C15" s="50">
        <v>45767</v>
      </c>
      <c r="D15" s="10">
        <v>45768</v>
      </c>
      <c r="E15" s="20" t="s">
        <v>226</v>
      </c>
      <c r="F15" s="13" t="s">
        <v>204</v>
      </c>
      <c r="G15" s="20">
        <v>2</v>
      </c>
      <c r="H15" s="13" t="s">
        <v>254</v>
      </c>
      <c r="I15" s="20" t="s">
        <v>206</v>
      </c>
      <c r="J15" s="13">
        <v>48</v>
      </c>
      <c r="K15" s="20">
        <v>19</v>
      </c>
      <c r="L15" s="13" t="s">
        <v>200</v>
      </c>
      <c r="M15" s="20">
        <v>0</v>
      </c>
      <c r="N15" s="13">
        <v>4</v>
      </c>
      <c r="O15" s="20">
        <v>8</v>
      </c>
      <c r="P15" s="13" t="s">
        <v>31</v>
      </c>
      <c r="Q15" s="20" t="s">
        <v>255</v>
      </c>
      <c r="R15" s="13" t="s">
        <v>229</v>
      </c>
    </row>
    <row r="16" spans="1:18" s="5" customFormat="1">
      <c r="A16" s="16" t="s">
        <v>256</v>
      </c>
      <c r="B16" s="13" t="s">
        <v>98</v>
      </c>
      <c r="C16" s="50">
        <v>45771</v>
      </c>
      <c r="D16" s="10">
        <v>45773</v>
      </c>
      <c r="E16" s="20" t="s">
        <v>222</v>
      </c>
      <c r="F16" s="13" t="s">
        <v>197</v>
      </c>
      <c r="G16" s="20">
        <v>5</v>
      </c>
      <c r="H16" s="13" t="s">
        <v>257</v>
      </c>
      <c r="I16" s="20" t="s">
        <v>218</v>
      </c>
      <c r="J16" s="13">
        <v>72</v>
      </c>
      <c r="K16" s="20">
        <v>48</v>
      </c>
      <c r="L16" s="13" t="s">
        <v>200</v>
      </c>
      <c r="M16" s="20">
        <v>0</v>
      </c>
      <c r="N16" s="13">
        <v>4</v>
      </c>
      <c r="O16" s="20">
        <v>7</v>
      </c>
      <c r="P16" s="13" t="s">
        <v>31</v>
      </c>
      <c r="Q16" s="20" t="s">
        <v>258</v>
      </c>
      <c r="R16" s="13" t="s">
        <v>32</v>
      </c>
    </row>
    <row r="17" spans="1:18" s="5" customFormat="1">
      <c r="A17" s="16" t="s">
        <v>259</v>
      </c>
      <c r="B17" s="13" t="s">
        <v>101</v>
      </c>
      <c r="C17" s="50">
        <v>45774</v>
      </c>
      <c r="D17" s="10">
        <v>45776</v>
      </c>
      <c r="E17" s="20" t="s">
        <v>216</v>
      </c>
      <c r="F17" s="13" t="s">
        <v>197</v>
      </c>
      <c r="G17" s="20">
        <v>6</v>
      </c>
      <c r="H17" s="13" t="s">
        <v>260</v>
      </c>
      <c r="I17" s="20" t="s">
        <v>218</v>
      </c>
      <c r="J17" s="13">
        <v>48</v>
      </c>
      <c r="K17" s="20">
        <v>30</v>
      </c>
      <c r="L17" s="13" t="s">
        <v>200</v>
      </c>
      <c r="M17" s="20">
        <v>0</v>
      </c>
      <c r="N17" s="13">
        <v>5</v>
      </c>
      <c r="O17" s="20">
        <v>8</v>
      </c>
      <c r="P17" s="13" t="s">
        <v>31</v>
      </c>
      <c r="Q17" s="20" t="s">
        <v>261</v>
      </c>
      <c r="R17" s="13" t="s">
        <v>220</v>
      </c>
    </row>
    <row r="18" spans="1:18" s="5" customFormat="1">
      <c r="A18" s="16" t="s">
        <v>262</v>
      </c>
      <c r="B18" s="13" t="s">
        <v>104</v>
      </c>
      <c r="C18" s="50">
        <v>45779</v>
      </c>
      <c r="D18" s="10">
        <v>45780</v>
      </c>
      <c r="E18" s="20" t="s">
        <v>196</v>
      </c>
      <c r="F18" s="13" t="s">
        <v>263</v>
      </c>
      <c r="G18" s="20">
        <v>7</v>
      </c>
      <c r="H18" s="13" t="s">
        <v>264</v>
      </c>
      <c r="I18" s="20" t="s">
        <v>199</v>
      </c>
      <c r="J18" s="13">
        <v>72</v>
      </c>
      <c r="K18" s="20">
        <v>10</v>
      </c>
      <c r="L18" s="13" t="s">
        <v>200</v>
      </c>
      <c r="M18" s="20">
        <v>0</v>
      </c>
      <c r="N18" s="13">
        <v>5</v>
      </c>
      <c r="O18" s="20">
        <v>9</v>
      </c>
      <c r="P18" s="13" t="s">
        <v>31</v>
      </c>
      <c r="Q18" s="20" t="s">
        <v>265</v>
      </c>
      <c r="R18" s="13" t="s">
        <v>229</v>
      </c>
    </row>
    <row r="19" spans="1:18" s="5" customFormat="1">
      <c r="A19" s="16" t="s">
        <v>266</v>
      </c>
      <c r="B19" s="13" t="s">
        <v>107</v>
      </c>
      <c r="C19" s="50">
        <v>45783</v>
      </c>
      <c r="D19" s="10">
        <v>45785</v>
      </c>
      <c r="E19" s="20" t="s">
        <v>203</v>
      </c>
      <c r="F19" s="13" t="s">
        <v>204</v>
      </c>
      <c r="G19" s="20">
        <v>4</v>
      </c>
      <c r="H19" s="13" t="s">
        <v>267</v>
      </c>
      <c r="I19" s="20" t="s">
        <v>206</v>
      </c>
      <c r="J19" s="13">
        <v>72</v>
      </c>
      <c r="K19" s="20">
        <v>54</v>
      </c>
      <c r="L19" s="13" t="s">
        <v>200</v>
      </c>
      <c r="M19" s="20">
        <v>0</v>
      </c>
      <c r="N19" s="13">
        <v>4</v>
      </c>
      <c r="O19" s="20">
        <v>7</v>
      </c>
      <c r="P19" s="13" t="s">
        <v>31</v>
      </c>
      <c r="Q19" s="20" t="s">
        <v>268</v>
      </c>
      <c r="R19" s="13" t="s">
        <v>208</v>
      </c>
    </row>
    <row r="20" spans="1:18" s="5" customFormat="1">
      <c r="A20" s="17" t="s">
        <v>269</v>
      </c>
      <c r="B20" s="14" t="s">
        <v>110</v>
      </c>
      <c r="C20" s="51">
        <v>45787</v>
      </c>
      <c r="D20" s="11">
        <v>45788</v>
      </c>
      <c r="E20" s="21" t="s">
        <v>270</v>
      </c>
      <c r="F20" s="14" t="s">
        <v>204</v>
      </c>
      <c r="G20" s="21">
        <v>3</v>
      </c>
      <c r="H20" s="14" t="s">
        <v>271</v>
      </c>
      <c r="I20" s="21" t="s">
        <v>212</v>
      </c>
      <c r="J20" s="14">
        <v>48</v>
      </c>
      <c r="K20" s="21">
        <v>26</v>
      </c>
      <c r="L20" s="14" t="s">
        <v>200</v>
      </c>
      <c r="M20" s="21">
        <v>150</v>
      </c>
      <c r="N20" s="14">
        <v>4</v>
      </c>
      <c r="O20" s="21">
        <v>7</v>
      </c>
      <c r="P20" s="14" t="s">
        <v>31</v>
      </c>
      <c r="Q20" s="21" t="s">
        <v>272</v>
      </c>
      <c r="R20" s="14" t="s">
        <v>214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O21"/>
  <sheetViews>
    <sheetView topLeftCell="H1" workbookViewId="0"/>
  </sheetViews>
  <sheetFormatPr defaultRowHeight="15"/>
  <cols>
    <col min="1" max="1" width="15.140625" bestFit="1" customWidth="1"/>
    <col min="2" max="2" width="12.42578125" bestFit="1" customWidth="1"/>
    <col min="3" max="3" width="12.5703125" bestFit="1" customWidth="1"/>
    <col min="4" max="4" width="14.7109375" bestFit="1" customWidth="1"/>
    <col min="5" max="5" width="15.7109375" bestFit="1" customWidth="1"/>
    <col min="6" max="6" width="30.85546875" bestFit="1" customWidth="1"/>
    <col min="7" max="7" width="18.140625" bestFit="1" customWidth="1"/>
    <col min="8" max="8" width="14.5703125" bestFit="1" customWidth="1"/>
    <col min="9" max="9" width="12.28515625" bestFit="1" customWidth="1"/>
    <col min="10" max="10" width="17.5703125" bestFit="1" customWidth="1"/>
    <col min="11" max="11" width="30.7109375" bestFit="1" customWidth="1"/>
    <col min="12" max="12" width="19.5703125" bestFit="1" customWidth="1"/>
    <col min="13" max="13" width="21.5703125" bestFit="1" customWidth="1"/>
    <col min="14" max="14" width="22.85546875" bestFit="1" customWidth="1"/>
    <col min="15" max="15" width="26.7109375" bestFit="1" customWidth="1"/>
  </cols>
  <sheetData>
    <row r="1" spans="1:15">
      <c r="A1" s="23" t="s">
        <v>273</v>
      </c>
      <c r="B1" s="8" t="s">
        <v>14</v>
      </c>
      <c r="C1" s="24" t="s">
        <v>13</v>
      </c>
      <c r="D1" s="8" t="s">
        <v>274</v>
      </c>
      <c r="E1" s="24" t="s">
        <v>275</v>
      </c>
      <c r="F1" s="8" t="s">
        <v>276</v>
      </c>
      <c r="G1" s="24" t="s">
        <v>277</v>
      </c>
      <c r="H1" s="8" t="s">
        <v>278</v>
      </c>
      <c r="I1" s="24" t="s">
        <v>279</v>
      </c>
      <c r="J1" s="8" t="s">
        <v>280</v>
      </c>
      <c r="K1" s="24" t="s">
        <v>281</v>
      </c>
      <c r="L1" s="8" t="s">
        <v>282</v>
      </c>
      <c r="M1" s="24" t="s">
        <v>25</v>
      </c>
      <c r="N1" s="8" t="s">
        <v>283</v>
      </c>
      <c r="O1" s="25" t="s">
        <v>193</v>
      </c>
    </row>
    <row r="2" spans="1:15" s="5" customFormat="1">
      <c r="A2" s="16" t="s">
        <v>284</v>
      </c>
      <c r="B2" s="13" t="s">
        <v>285</v>
      </c>
      <c r="C2" s="50">
        <v>45717</v>
      </c>
      <c r="D2" s="13" t="s">
        <v>286</v>
      </c>
      <c r="E2" s="20" t="s">
        <v>286</v>
      </c>
      <c r="F2" s="13" t="s">
        <v>31</v>
      </c>
      <c r="G2" s="20" t="s">
        <v>31</v>
      </c>
      <c r="H2" s="13" t="s">
        <v>31</v>
      </c>
      <c r="I2" s="20" t="s">
        <v>31</v>
      </c>
      <c r="J2" s="13" t="s">
        <v>287</v>
      </c>
      <c r="K2" s="20" t="s">
        <v>288</v>
      </c>
      <c r="L2" s="13">
        <v>62</v>
      </c>
      <c r="M2" s="20">
        <v>6</v>
      </c>
      <c r="N2" s="13">
        <v>5</v>
      </c>
      <c r="O2" s="26" t="s">
        <v>289</v>
      </c>
    </row>
    <row r="3" spans="1:15" s="5" customFormat="1">
      <c r="A3" s="16" t="s">
        <v>290</v>
      </c>
      <c r="B3" s="13" t="s">
        <v>291</v>
      </c>
      <c r="C3" s="50">
        <v>45720</v>
      </c>
      <c r="D3" s="13" t="s">
        <v>286</v>
      </c>
      <c r="E3" s="20" t="s">
        <v>286</v>
      </c>
      <c r="F3" s="13" t="s">
        <v>31</v>
      </c>
      <c r="G3" s="20" t="s">
        <v>31</v>
      </c>
      <c r="H3" s="13" t="s">
        <v>38</v>
      </c>
      <c r="I3" s="20" t="s">
        <v>31</v>
      </c>
      <c r="J3" s="13" t="s">
        <v>292</v>
      </c>
      <c r="K3" s="20" t="s">
        <v>293</v>
      </c>
      <c r="L3" s="13">
        <v>48</v>
      </c>
      <c r="M3" s="20">
        <v>12</v>
      </c>
      <c r="N3" s="13">
        <v>4</v>
      </c>
      <c r="O3" s="26" t="s">
        <v>294</v>
      </c>
    </row>
    <row r="4" spans="1:15" s="5" customFormat="1">
      <c r="A4" s="16" t="s">
        <v>295</v>
      </c>
      <c r="B4" s="13" t="s">
        <v>296</v>
      </c>
      <c r="C4" s="50">
        <v>45723</v>
      </c>
      <c r="D4" s="13" t="s">
        <v>286</v>
      </c>
      <c r="E4" s="20" t="s">
        <v>286</v>
      </c>
      <c r="F4" s="13" t="s">
        <v>38</v>
      </c>
      <c r="G4" s="20" t="s">
        <v>31</v>
      </c>
      <c r="H4" s="13" t="s">
        <v>31</v>
      </c>
      <c r="I4" s="20" t="s">
        <v>31</v>
      </c>
      <c r="J4" s="13" t="s">
        <v>287</v>
      </c>
      <c r="K4" s="20" t="s">
        <v>297</v>
      </c>
      <c r="L4" s="13">
        <v>55</v>
      </c>
      <c r="M4" s="20">
        <v>8</v>
      </c>
      <c r="N4" s="13">
        <v>5</v>
      </c>
      <c r="O4" s="26" t="s">
        <v>298</v>
      </c>
    </row>
    <row r="5" spans="1:15" s="5" customFormat="1">
      <c r="A5" s="16" t="s">
        <v>299</v>
      </c>
      <c r="B5" s="13" t="s">
        <v>300</v>
      </c>
      <c r="C5" s="50">
        <v>45726</v>
      </c>
      <c r="D5" s="13" t="s">
        <v>286</v>
      </c>
      <c r="E5" s="20" t="s">
        <v>292</v>
      </c>
      <c r="F5" s="13" t="s">
        <v>31</v>
      </c>
      <c r="G5" s="20" t="s">
        <v>31</v>
      </c>
      <c r="H5" s="13" t="s">
        <v>38</v>
      </c>
      <c r="I5" s="20" t="s">
        <v>38</v>
      </c>
      <c r="J5" s="13" t="s">
        <v>301</v>
      </c>
      <c r="K5" s="20" t="s">
        <v>288</v>
      </c>
      <c r="L5" s="13">
        <v>33</v>
      </c>
      <c r="M5" s="20">
        <v>20</v>
      </c>
      <c r="N5" s="13">
        <v>4</v>
      </c>
      <c r="O5" s="26" t="s">
        <v>302</v>
      </c>
    </row>
    <row r="6" spans="1:15" s="5" customFormat="1">
      <c r="A6" s="16" t="s">
        <v>303</v>
      </c>
      <c r="B6" s="13" t="s">
        <v>304</v>
      </c>
      <c r="C6" s="50">
        <v>45728</v>
      </c>
      <c r="D6" s="13" t="s">
        <v>286</v>
      </c>
      <c r="E6" s="20" t="s">
        <v>286</v>
      </c>
      <c r="F6" s="13" t="s">
        <v>31</v>
      </c>
      <c r="G6" s="20" t="s">
        <v>31</v>
      </c>
      <c r="H6" s="13" t="s">
        <v>31</v>
      </c>
      <c r="I6" s="20" t="s">
        <v>31</v>
      </c>
      <c r="J6" s="13" t="s">
        <v>287</v>
      </c>
      <c r="K6" s="20" t="s">
        <v>293</v>
      </c>
      <c r="L6" s="13">
        <v>64</v>
      </c>
      <c r="M6" s="20">
        <v>4</v>
      </c>
      <c r="N6" s="13">
        <v>5</v>
      </c>
      <c r="O6" s="26" t="s">
        <v>305</v>
      </c>
    </row>
    <row r="7" spans="1:15" s="5" customFormat="1">
      <c r="A7" s="16" t="s">
        <v>306</v>
      </c>
      <c r="B7" s="13" t="s">
        <v>307</v>
      </c>
      <c r="C7" s="50">
        <v>45732</v>
      </c>
      <c r="D7" s="13" t="s">
        <v>286</v>
      </c>
      <c r="E7" s="20" t="s">
        <v>286</v>
      </c>
      <c r="F7" s="13" t="s">
        <v>31</v>
      </c>
      <c r="G7" s="20" t="s">
        <v>38</v>
      </c>
      <c r="H7" s="13" t="s">
        <v>38</v>
      </c>
      <c r="I7" s="20" t="s">
        <v>31</v>
      </c>
      <c r="J7" s="13" t="s">
        <v>301</v>
      </c>
      <c r="K7" s="20" t="s">
        <v>297</v>
      </c>
      <c r="L7" s="13">
        <v>29</v>
      </c>
      <c r="M7" s="20">
        <v>18</v>
      </c>
      <c r="N7" s="13">
        <v>4</v>
      </c>
      <c r="O7" s="26" t="s">
        <v>308</v>
      </c>
    </row>
    <row r="8" spans="1:15" s="5" customFormat="1">
      <c r="A8" s="16" t="s">
        <v>309</v>
      </c>
      <c r="B8" s="13" t="s">
        <v>310</v>
      </c>
      <c r="C8" s="50">
        <v>45736</v>
      </c>
      <c r="D8" s="13" t="s">
        <v>286</v>
      </c>
      <c r="E8" s="20" t="s">
        <v>286</v>
      </c>
      <c r="F8" s="13" t="s">
        <v>31</v>
      </c>
      <c r="G8" s="20" t="s">
        <v>31</v>
      </c>
      <c r="H8" s="13" t="s">
        <v>31</v>
      </c>
      <c r="I8" s="20" t="s">
        <v>31</v>
      </c>
      <c r="J8" s="13" t="s">
        <v>287</v>
      </c>
      <c r="K8" s="20" t="s">
        <v>311</v>
      </c>
      <c r="L8" s="13">
        <v>58</v>
      </c>
      <c r="M8" s="20">
        <v>5</v>
      </c>
      <c r="N8" s="13">
        <v>5</v>
      </c>
      <c r="O8" s="26" t="s">
        <v>312</v>
      </c>
    </row>
    <row r="9" spans="1:15" s="5" customFormat="1">
      <c r="A9" s="16" t="s">
        <v>313</v>
      </c>
      <c r="B9" s="13" t="s">
        <v>314</v>
      </c>
      <c r="C9" s="50">
        <v>45740</v>
      </c>
      <c r="D9" s="13" t="s">
        <v>286</v>
      </c>
      <c r="E9" s="20" t="s">
        <v>286</v>
      </c>
      <c r="F9" s="13" t="s">
        <v>38</v>
      </c>
      <c r="G9" s="20" t="s">
        <v>31</v>
      </c>
      <c r="H9" s="13" t="s">
        <v>38</v>
      </c>
      <c r="I9" s="20" t="s">
        <v>38</v>
      </c>
      <c r="J9" s="13" t="s">
        <v>301</v>
      </c>
      <c r="K9" s="20" t="s">
        <v>293</v>
      </c>
      <c r="L9" s="13">
        <v>31</v>
      </c>
      <c r="M9" s="20">
        <v>24</v>
      </c>
      <c r="N9" s="13">
        <v>3</v>
      </c>
      <c r="O9" s="26" t="s">
        <v>315</v>
      </c>
    </row>
    <row r="10" spans="1:15" s="5" customFormat="1">
      <c r="A10" s="16" t="s">
        <v>316</v>
      </c>
      <c r="B10" s="13" t="s">
        <v>317</v>
      </c>
      <c r="C10" s="50">
        <v>45744</v>
      </c>
      <c r="D10" s="13" t="s">
        <v>286</v>
      </c>
      <c r="E10" s="20" t="s">
        <v>286</v>
      </c>
      <c r="F10" s="13" t="s">
        <v>31</v>
      </c>
      <c r="G10" s="20" t="s">
        <v>31</v>
      </c>
      <c r="H10" s="13" t="s">
        <v>31</v>
      </c>
      <c r="I10" s="20" t="s">
        <v>31</v>
      </c>
      <c r="J10" s="13" t="s">
        <v>287</v>
      </c>
      <c r="K10" s="20" t="s">
        <v>318</v>
      </c>
      <c r="L10" s="13">
        <v>47</v>
      </c>
      <c r="M10" s="20">
        <v>7</v>
      </c>
      <c r="N10" s="13">
        <v>5</v>
      </c>
      <c r="O10" s="26" t="s">
        <v>319</v>
      </c>
    </row>
    <row r="11" spans="1:15" s="5" customFormat="1">
      <c r="A11" s="16" t="s">
        <v>320</v>
      </c>
      <c r="B11" s="13" t="s">
        <v>321</v>
      </c>
      <c r="C11" s="50">
        <v>45749</v>
      </c>
      <c r="D11" s="13" t="s">
        <v>286</v>
      </c>
      <c r="E11" s="20" t="s">
        <v>286</v>
      </c>
      <c r="F11" s="13" t="s">
        <v>31</v>
      </c>
      <c r="G11" s="20" t="s">
        <v>31</v>
      </c>
      <c r="H11" s="13" t="s">
        <v>38</v>
      </c>
      <c r="I11" s="20" t="s">
        <v>31</v>
      </c>
      <c r="J11" s="13" t="s">
        <v>292</v>
      </c>
      <c r="K11" s="20" t="s">
        <v>311</v>
      </c>
      <c r="L11" s="13">
        <v>44</v>
      </c>
      <c r="M11" s="20">
        <v>10</v>
      </c>
      <c r="N11" s="13">
        <v>4</v>
      </c>
      <c r="O11" s="26" t="s">
        <v>322</v>
      </c>
    </row>
    <row r="12" spans="1:15" s="5" customFormat="1">
      <c r="A12" s="16" t="s">
        <v>323</v>
      </c>
      <c r="B12" s="13" t="s">
        <v>324</v>
      </c>
      <c r="C12" s="50">
        <v>45752</v>
      </c>
      <c r="D12" s="13" t="s">
        <v>286</v>
      </c>
      <c r="E12" s="20" t="s">
        <v>286</v>
      </c>
      <c r="F12" s="13" t="s">
        <v>31</v>
      </c>
      <c r="G12" s="20" t="s">
        <v>31</v>
      </c>
      <c r="H12" s="13" t="s">
        <v>31</v>
      </c>
      <c r="I12" s="20" t="s">
        <v>31</v>
      </c>
      <c r="J12" s="13" t="s">
        <v>287</v>
      </c>
      <c r="K12" s="20" t="s">
        <v>293</v>
      </c>
      <c r="L12" s="13">
        <v>63</v>
      </c>
      <c r="M12" s="20">
        <v>6</v>
      </c>
      <c r="N12" s="13">
        <v>5</v>
      </c>
      <c r="O12" s="26" t="s">
        <v>325</v>
      </c>
    </row>
    <row r="13" spans="1:15" s="5" customFormat="1">
      <c r="A13" s="16" t="s">
        <v>326</v>
      </c>
      <c r="B13" s="13" t="s">
        <v>327</v>
      </c>
      <c r="C13" s="50">
        <v>45756</v>
      </c>
      <c r="D13" s="13" t="s">
        <v>286</v>
      </c>
      <c r="E13" s="20" t="s">
        <v>292</v>
      </c>
      <c r="F13" s="13" t="s">
        <v>31</v>
      </c>
      <c r="G13" s="20" t="s">
        <v>31</v>
      </c>
      <c r="H13" s="13" t="s">
        <v>38</v>
      </c>
      <c r="I13" s="20" t="s">
        <v>38</v>
      </c>
      <c r="J13" s="13" t="s">
        <v>301</v>
      </c>
      <c r="K13" s="20" t="s">
        <v>318</v>
      </c>
      <c r="L13" s="13">
        <v>36</v>
      </c>
      <c r="M13" s="20">
        <v>15</v>
      </c>
      <c r="N13" s="13">
        <v>4</v>
      </c>
      <c r="O13" s="26" t="s">
        <v>328</v>
      </c>
    </row>
    <row r="14" spans="1:15" s="5" customFormat="1">
      <c r="A14" s="16" t="s">
        <v>329</v>
      </c>
      <c r="B14" s="13" t="s">
        <v>330</v>
      </c>
      <c r="C14" s="50">
        <v>45759</v>
      </c>
      <c r="D14" s="13" t="s">
        <v>286</v>
      </c>
      <c r="E14" s="20" t="s">
        <v>286</v>
      </c>
      <c r="F14" s="13" t="s">
        <v>31</v>
      </c>
      <c r="G14" s="20" t="s">
        <v>31</v>
      </c>
      <c r="H14" s="13" t="s">
        <v>31</v>
      </c>
      <c r="I14" s="20" t="s">
        <v>31</v>
      </c>
      <c r="J14" s="13" t="s">
        <v>287</v>
      </c>
      <c r="K14" s="20" t="s">
        <v>331</v>
      </c>
      <c r="L14" s="13">
        <v>59</v>
      </c>
      <c r="M14" s="20">
        <v>5</v>
      </c>
      <c r="N14" s="13">
        <v>5</v>
      </c>
      <c r="O14" s="26" t="s">
        <v>332</v>
      </c>
    </row>
    <row r="15" spans="1:15" s="5" customFormat="1">
      <c r="A15" s="16" t="s">
        <v>333</v>
      </c>
      <c r="B15" s="13" t="s">
        <v>334</v>
      </c>
      <c r="C15" s="50">
        <v>45763</v>
      </c>
      <c r="D15" s="13" t="s">
        <v>286</v>
      </c>
      <c r="E15" s="20" t="s">
        <v>286</v>
      </c>
      <c r="F15" s="13" t="s">
        <v>38</v>
      </c>
      <c r="G15" s="20" t="s">
        <v>31</v>
      </c>
      <c r="H15" s="13" t="s">
        <v>38</v>
      </c>
      <c r="I15" s="20" t="s">
        <v>31</v>
      </c>
      <c r="J15" s="13" t="s">
        <v>301</v>
      </c>
      <c r="K15" s="20" t="s">
        <v>293</v>
      </c>
      <c r="L15" s="13">
        <v>27</v>
      </c>
      <c r="M15" s="20">
        <v>22</v>
      </c>
      <c r="N15" s="13">
        <v>3</v>
      </c>
      <c r="O15" s="26" t="s">
        <v>335</v>
      </c>
    </row>
    <row r="16" spans="1:15" s="5" customFormat="1">
      <c r="A16" s="16" t="s">
        <v>336</v>
      </c>
      <c r="B16" s="13" t="s">
        <v>337</v>
      </c>
      <c r="C16" s="50">
        <v>45766</v>
      </c>
      <c r="D16" s="13" t="s">
        <v>286</v>
      </c>
      <c r="E16" s="20" t="s">
        <v>286</v>
      </c>
      <c r="F16" s="13" t="s">
        <v>31</v>
      </c>
      <c r="G16" s="20" t="s">
        <v>31</v>
      </c>
      <c r="H16" s="13" t="s">
        <v>31</v>
      </c>
      <c r="I16" s="20" t="s">
        <v>31</v>
      </c>
      <c r="J16" s="13" t="s">
        <v>287</v>
      </c>
      <c r="K16" s="20" t="s">
        <v>338</v>
      </c>
      <c r="L16" s="13">
        <v>52</v>
      </c>
      <c r="M16" s="20">
        <v>9</v>
      </c>
      <c r="N16" s="13">
        <v>5</v>
      </c>
      <c r="O16" s="26" t="s">
        <v>339</v>
      </c>
    </row>
    <row r="17" spans="1:15" s="5" customFormat="1">
      <c r="A17" s="16" t="s">
        <v>340</v>
      </c>
      <c r="B17" s="13" t="s">
        <v>341</v>
      </c>
      <c r="C17" s="50">
        <v>45769</v>
      </c>
      <c r="D17" s="13" t="s">
        <v>286</v>
      </c>
      <c r="E17" s="20" t="s">
        <v>292</v>
      </c>
      <c r="F17" s="13" t="s">
        <v>31</v>
      </c>
      <c r="G17" s="20" t="s">
        <v>38</v>
      </c>
      <c r="H17" s="13" t="s">
        <v>38</v>
      </c>
      <c r="I17" s="20" t="s">
        <v>38</v>
      </c>
      <c r="J17" s="13" t="s">
        <v>301</v>
      </c>
      <c r="K17" s="20" t="s">
        <v>331</v>
      </c>
      <c r="L17" s="13">
        <v>25</v>
      </c>
      <c r="M17" s="20">
        <v>26</v>
      </c>
      <c r="N17" s="13">
        <v>3</v>
      </c>
      <c r="O17" s="26" t="s">
        <v>342</v>
      </c>
    </row>
    <row r="18" spans="1:15" s="5" customFormat="1">
      <c r="A18" s="16" t="s">
        <v>343</v>
      </c>
      <c r="B18" s="13" t="s">
        <v>344</v>
      </c>
      <c r="C18" s="50">
        <v>45773</v>
      </c>
      <c r="D18" s="13" t="s">
        <v>286</v>
      </c>
      <c r="E18" s="20" t="s">
        <v>286</v>
      </c>
      <c r="F18" s="13" t="s">
        <v>31</v>
      </c>
      <c r="G18" s="20" t="s">
        <v>31</v>
      </c>
      <c r="H18" s="13" t="s">
        <v>31</v>
      </c>
      <c r="I18" s="20" t="s">
        <v>31</v>
      </c>
      <c r="J18" s="13" t="s">
        <v>287</v>
      </c>
      <c r="K18" s="20" t="s">
        <v>293</v>
      </c>
      <c r="L18" s="13">
        <v>61</v>
      </c>
      <c r="M18" s="20">
        <v>6</v>
      </c>
      <c r="N18" s="13">
        <v>5</v>
      </c>
      <c r="O18" s="26" t="s">
        <v>345</v>
      </c>
    </row>
    <row r="19" spans="1:15" s="5" customFormat="1">
      <c r="A19" s="16" t="s">
        <v>346</v>
      </c>
      <c r="B19" s="13" t="s">
        <v>347</v>
      </c>
      <c r="C19" s="50">
        <v>45776</v>
      </c>
      <c r="D19" s="13" t="s">
        <v>286</v>
      </c>
      <c r="E19" s="20" t="s">
        <v>286</v>
      </c>
      <c r="F19" s="13" t="s">
        <v>31</v>
      </c>
      <c r="G19" s="20" t="s">
        <v>31</v>
      </c>
      <c r="H19" s="13" t="s">
        <v>38</v>
      </c>
      <c r="I19" s="20" t="s">
        <v>31</v>
      </c>
      <c r="J19" s="13" t="s">
        <v>292</v>
      </c>
      <c r="K19" s="20" t="s">
        <v>338</v>
      </c>
      <c r="L19" s="13">
        <v>38</v>
      </c>
      <c r="M19" s="20">
        <v>12</v>
      </c>
      <c r="N19" s="13">
        <v>4</v>
      </c>
      <c r="O19" s="26" t="s">
        <v>348</v>
      </c>
    </row>
    <row r="20" spans="1:15" s="5" customFormat="1">
      <c r="A20" s="16" t="s">
        <v>349</v>
      </c>
      <c r="B20" s="13" t="s">
        <v>350</v>
      </c>
      <c r="C20" s="50">
        <v>45780</v>
      </c>
      <c r="D20" s="13" t="s">
        <v>286</v>
      </c>
      <c r="E20" s="20" t="s">
        <v>292</v>
      </c>
      <c r="F20" s="13" t="s">
        <v>31</v>
      </c>
      <c r="G20" s="20" t="s">
        <v>31</v>
      </c>
      <c r="H20" s="13" t="s">
        <v>38</v>
      </c>
      <c r="I20" s="20" t="s">
        <v>38</v>
      </c>
      <c r="J20" s="13" t="s">
        <v>301</v>
      </c>
      <c r="K20" s="20" t="s">
        <v>351</v>
      </c>
      <c r="L20" s="13">
        <v>30</v>
      </c>
      <c r="M20" s="20">
        <v>18</v>
      </c>
      <c r="N20" s="13">
        <v>3</v>
      </c>
      <c r="O20" s="26" t="s">
        <v>352</v>
      </c>
    </row>
    <row r="21" spans="1:15" s="5" customFormat="1">
      <c r="A21" s="17" t="s">
        <v>353</v>
      </c>
      <c r="B21" s="14" t="s">
        <v>354</v>
      </c>
      <c r="C21" s="51">
        <v>45783</v>
      </c>
      <c r="D21" s="14" t="s">
        <v>286</v>
      </c>
      <c r="E21" s="21" t="s">
        <v>286</v>
      </c>
      <c r="F21" s="14" t="s">
        <v>31</v>
      </c>
      <c r="G21" s="21" t="s">
        <v>31</v>
      </c>
      <c r="H21" s="14" t="s">
        <v>31</v>
      </c>
      <c r="I21" s="21" t="s">
        <v>31</v>
      </c>
      <c r="J21" s="14" t="s">
        <v>287</v>
      </c>
      <c r="K21" s="21" t="s">
        <v>293</v>
      </c>
      <c r="L21" s="14">
        <v>57</v>
      </c>
      <c r="M21" s="21">
        <v>7</v>
      </c>
      <c r="N21" s="14">
        <v>5</v>
      </c>
      <c r="O21" s="27" t="s">
        <v>355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M21"/>
  <sheetViews>
    <sheetView workbookViewId="0">
      <selection activeCell="L25" sqref="L25"/>
    </sheetView>
  </sheetViews>
  <sheetFormatPr defaultRowHeight="15"/>
  <cols>
    <col min="1" max="1" width="11.5703125" bestFit="1" customWidth="1"/>
    <col min="2" max="2" width="12.42578125" bestFit="1" customWidth="1"/>
    <col min="3" max="3" width="11.42578125" bestFit="1" customWidth="1"/>
    <col min="4" max="4" width="8.42578125" customWidth="1"/>
    <col min="5" max="5" width="21.5703125" customWidth="1"/>
    <col min="6" max="6" width="17.7109375" bestFit="1" customWidth="1"/>
    <col min="7" max="7" width="19.42578125" bestFit="1" customWidth="1"/>
    <col min="8" max="8" width="16.140625" bestFit="1" customWidth="1"/>
    <col min="9" max="9" width="14.28515625" bestFit="1" customWidth="1"/>
    <col min="10" max="10" width="32.7109375" bestFit="1" customWidth="1"/>
    <col min="11" max="11" width="17.7109375" bestFit="1" customWidth="1"/>
    <col min="12" max="12" width="10.140625" customWidth="1"/>
    <col min="13" max="13" width="28" customWidth="1"/>
  </cols>
  <sheetData>
    <row r="1" spans="1:13">
      <c r="A1" s="7" t="s">
        <v>356</v>
      </c>
      <c r="B1" s="8" t="s">
        <v>14</v>
      </c>
      <c r="C1" s="18" t="s">
        <v>357</v>
      </c>
      <c r="D1" s="8" t="s">
        <v>358</v>
      </c>
      <c r="E1" s="18" t="s">
        <v>359</v>
      </c>
      <c r="F1" s="8" t="s">
        <v>360</v>
      </c>
      <c r="G1" s="18" t="s">
        <v>361</v>
      </c>
      <c r="H1" s="8" t="s">
        <v>162</v>
      </c>
      <c r="I1" s="18" t="s">
        <v>362</v>
      </c>
      <c r="J1" s="8" t="s">
        <v>363</v>
      </c>
      <c r="K1" s="18" t="s">
        <v>364</v>
      </c>
      <c r="L1" s="8" t="s">
        <v>365</v>
      </c>
      <c r="M1" s="22" t="s">
        <v>366</v>
      </c>
    </row>
    <row r="2" spans="1:13" s="5" customFormat="1">
      <c r="A2" s="15" t="s">
        <v>367</v>
      </c>
      <c r="B2" s="12" t="s">
        <v>285</v>
      </c>
      <c r="C2" s="52">
        <v>45718</v>
      </c>
      <c r="D2" s="12" t="s">
        <v>368</v>
      </c>
      <c r="E2" s="19" t="s">
        <v>369</v>
      </c>
      <c r="F2" s="12">
        <v>3</v>
      </c>
      <c r="G2" s="19">
        <v>1</v>
      </c>
      <c r="H2" s="53">
        <v>0.33</v>
      </c>
      <c r="I2" s="19">
        <v>520000</v>
      </c>
      <c r="J2" s="12">
        <v>13000</v>
      </c>
      <c r="K2" s="19">
        <v>150</v>
      </c>
      <c r="L2" s="12">
        <v>8533</v>
      </c>
      <c r="M2" s="45" t="s">
        <v>370</v>
      </c>
    </row>
    <row r="3" spans="1:13" s="5" customFormat="1">
      <c r="A3" s="16" t="s">
        <v>371</v>
      </c>
      <c r="B3" s="13" t="s">
        <v>296</v>
      </c>
      <c r="C3" s="50">
        <v>45724</v>
      </c>
      <c r="D3" s="13" t="s">
        <v>368</v>
      </c>
      <c r="E3" s="20" t="s">
        <v>369</v>
      </c>
      <c r="F3" s="13">
        <v>2</v>
      </c>
      <c r="G3" s="20">
        <v>1</v>
      </c>
      <c r="H3" s="48">
        <v>0.5</v>
      </c>
      <c r="I3" s="20">
        <v>465000</v>
      </c>
      <c r="J3" s="13">
        <v>11625</v>
      </c>
      <c r="K3" s="20">
        <v>100</v>
      </c>
      <c r="L3" s="13">
        <v>11525</v>
      </c>
      <c r="M3" s="26" t="s">
        <v>372</v>
      </c>
    </row>
    <row r="4" spans="1:13" s="5" customFormat="1">
      <c r="A4" s="16" t="s">
        <v>373</v>
      </c>
      <c r="B4" s="13" t="s">
        <v>304</v>
      </c>
      <c r="C4" s="50">
        <v>45728</v>
      </c>
      <c r="D4" s="13" t="s">
        <v>374</v>
      </c>
      <c r="E4" s="20" t="s">
        <v>375</v>
      </c>
      <c r="F4" s="13">
        <v>5</v>
      </c>
      <c r="G4" s="20">
        <v>2</v>
      </c>
      <c r="H4" s="48">
        <v>0.4</v>
      </c>
      <c r="I4" s="20">
        <v>610000</v>
      </c>
      <c r="J4" s="13">
        <v>30500</v>
      </c>
      <c r="K4" s="20">
        <v>500</v>
      </c>
      <c r="L4" s="13">
        <v>6000</v>
      </c>
      <c r="M4" s="26" t="s">
        <v>376</v>
      </c>
    </row>
    <row r="5" spans="1:13" s="5" customFormat="1">
      <c r="A5" s="16" t="s">
        <v>377</v>
      </c>
      <c r="B5" s="13" t="s">
        <v>310</v>
      </c>
      <c r="C5" s="50">
        <v>45736</v>
      </c>
      <c r="D5" s="13" t="s">
        <v>368</v>
      </c>
      <c r="E5" s="20" t="s">
        <v>369</v>
      </c>
      <c r="F5" s="13">
        <v>3</v>
      </c>
      <c r="G5" s="20">
        <v>1</v>
      </c>
      <c r="H5" s="48">
        <v>0.33</v>
      </c>
      <c r="I5" s="20">
        <v>430000</v>
      </c>
      <c r="J5" s="13">
        <v>10750</v>
      </c>
      <c r="K5" s="20">
        <v>150</v>
      </c>
      <c r="L5" s="13">
        <v>7067</v>
      </c>
      <c r="M5" s="26" t="s">
        <v>378</v>
      </c>
    </row>
    <row r="6" spans="1:13" s="5" customFormat="1">
      <c r="A6" s="16" t="s">
        <v>379</v>
      </c>
      <c r="B6" s="13" t="s">
        <v>317</v>
      </c>
      <c r="C6" s="50">
        <v>45744</v>
      </c>
      <c r="D6" s="13" t="s">
        <v>374</v>
      </c>
      <c r="E6" s="20" t="s">
        <v>375</v>
      </c>
      <c r="F6" s="13">
        <v>4</v>
      </c>
      <c r="G6" s="20">
        <v>2</v>
      </c>
      <c r="H6" s="48">
        <v>0.5</v>
      </c>
      <c r="I6" s="20">
        <v>585000</v>
      </c>
      <c r="J6" s="13">
        <v>29250</v>
      </c>
      <c r="K6" s="20">
        <v>400</v>
      </c>
      <c r="L6" s="13">
        <v>7213</v>
      </c>
      <c r="M6" s="26" t="s">
        <v>380</v>
      </c>
    </row>
    <row r="7" spans="1:13" s="5" customFormat="1">
      <c r="A7" s="16" t="s">
        <v>381</v>
      </c>
      <c r="B7" s="13" t="s">
        <v>321</v>
      </c>
      <c r="C7" s="50">
        <v>45749</v>
      </c>
      <c r="D7" s="13" t="s">
        <v>382</v>
      </c>
      <c r="E7" s="20" t="s">
        <v>383</v>
      </c>
      <c r="F7" s="13">
        <v>1</v>
      </c>
      <c r="G7" s="20">
        <v>0</v>
      </c>
      <c r="H7" s="48">
        <v>0</v>
      </c>
      <c r="I7" s="20">
        <v>0</v>
      </c>
      <c r="J7" s="13">
        <v>0</v>
      </c>
      <c r="K7" s="20">
        <v>25</v>
      </c>
      <c r="L7" s="13">
        <v>-100</v>
      </c>
      <c r="M7" s="26" t="s">
        <v>384</v>
      </c>
    </row>
    <row r="8" spans="1:13" s="5" customFormat="1">
      <c r="A8" s="16" t="s">
        <v>385</v>
      </c>
      <c r="B8" s="13" t="s">
        <v>324</v>
      </c>
      <c r="C8" s="50">
        <v>45752</v>
      </c>
      <c r="D8" s="13" t="s">
        <v>374</v>
      </c>
      <c r="E8" s="20" t="s">
        <v>375</v>
      </c>
      <c r="F8" s="13">
        <v>6</v>
      </c>
      <c r="G8" s="20">
        <v>2</v>
      </c>
      <c r="H8" s="48">
        <v>0.33</v>
      </c>
      <c r="I8" s="20">
        <v>640000</v>
      </c>
      <c r="J8" s="13">
        <v>32000</v>
      </c>
      <c r="K8" s="20">
        <v>600</v>
      </c>
      <c r="L8" s="13">
        <v>5233</v>
      </c>
      <c r="M8" s="26" t="s">
        <v>386</v>
      </c>
    </row>
    <row r="9" spans="1:13" s="5" customFormat="1">
      <c r="A9" s="16" t="s">
        <v>387</v>
      </c>
      <c r="B9" s="13" t="s">
        <v>330</v>
      </c>
      <c r="C9" s="50">
        <v>45759</v>
      </c>
      <c r="D9" s="13" t="s">
        <v>368</v>
      </c>
      <c r="E9" s="20" t="s">
        <v>369</v>
      </c>
      <c r="F9" s="13">
        <v>2</v>
      </c>
      <c r="G9" s="20">
        <v>1</v>
      </c>
      <c r="H9" s="48">
        <v>0.5</v>
      </c>
      <c r="I9" s="20">
        <v>510000</v>
      </c>
      <c r="J9" s="13">
        <v>12750</v>
      </c>
      <c r="K9" s="20">
        <v>100</v>
      </c>
      <c r="L9" s="13">
        <v>12650</v>
      </c>
      <c r="M9" s="26" t="s">
        <v>388</v>
      </c>
    </row>
    <row r="10" spans="1:13" s="5" customFormat="1">
      <c r="A10" s="16" t="s">
        <v>389</v>
      </c>
      <c r="B10" s="13" t="s">
        <v>337</v>
      </c>
      <c r="C10" s="50">
        <v>45766</v>
      </c>
      <c r="D10" s="13" t="s">
        <v>374</v>
      </c>
      <c r="E10" s="20" t="s">
        <v>375</v>
      </c>
      <c r="F10" s="13">
        <v>4</v>
      </c>
      <c r="G10" s="20">
        <v>2</v>
      </c>
      <c r="H10" s="48">
        <v>0.5</v>
      </c>
      <c r="I10" s="20">
        <v>720000</v>
      </c>
      <c r="J10" s="13">
        <v>36000</v>
      </c>
      <c r="K10" s="20">
        <v>400</v>
      </c>
      <c r="L10" s="13">
        <v>8900</v>
      </c>
      <c r="M10" s="26" t="s">
        <v>390</v>
      </c>
    </row>
    <row r="11" spans="1:13" s="5" customFormat="1">
      <c r="A11" s="16" t="s">
        <v>391</v>
      </c>
      <c r="B11" s="13" t="s">
        <v>344</v>
      </c>
      <c r="C11" s="50">
        <v>45773</v>
      </c>
      <c r="D11" s="13" t="s">
        <v>368</v>
      </c>
      <c r="E11" s="20" t="s">
        <v>369</v>
      </c>
      <c r="F11" s="13">
        <v>3</v>
      </c>
      <c r="G11" s="20">
        <v>1</v>
      </c>
      <c r="H11" s="48">
        <v>0.33</v>
      </c>
      <c r="I11" s="20">
        <v>455000</v>
      </c>
      <c r="J11" s="13">
        <v>11375</v>
      </c>
      <c r="K11" s="20">
        <v>150</v>
      </c>
      <c r="L11" s="13">
        <v>747</v>
      </c>
      <c r="M11" s="26" t="s">
        <v>392</v>
      </c>
    </row>
    <row r="12" spans="1:13" s="5" customFormat="1">
      <c r="A12" s="16" t="s">
        <v>393</v>
      </c>
      <c r="B12" s="13" t="s">
        <v>354</v>
      </c>
      <c r="C12" s="50">
        <v>45783</v>
      </c>
      <c r="D12" s="13" t="s">
        <v>368</v>
      </c>
      <c r="E12" s="20" t="s">
        <v>369</v>
      </c>
      <c r="F12" s="13">
        <v>2</v>
      </c>
      <c r="G12" s="20">
        <v>1</v>
      </c>
      <c r="H12" s="48">
        <v>0.5</v>
      </c>
      <c r="I12" s="20">
        <v>540000</v>
      </c>
      <c r="J12" s="13">
        <v>13500</v>
      </c>
      <c r="K12" s="20">
        <v>100</v>
      </c>
      <c r="L12" s="13">
        <v>13400</v>
      </c>
      <c r="M12" s="26" t="s">
        <v>394</v>
      </c>
    </row>
    <row r="13" spans="1:13" s="5" customFormat="1">
      <c r="A13" s="16" t="s">
        <v>395</v>
      </c>
      <c r="B13" s="13" t="s">
        <v>300</v>
      </c>
      <c r="C13" s="50">
        <v>45726</v>
      </c>
      <c r="D13" s="13" t="s">
        <v>382</v>
      </c>
      <c r="E13" s="20" t="s">
        <v>383</v>
      </c>
      <c r="F13" s="13">
        <v>1</v>
      </c>
      <c r="G13" s="20">
        <v>0</v>
      </c>
      <c r="H13" s="48">
        <v>0</v>
      </c>
      <c r="I13" s="20">
        <v>0</v>
      </c>
      <c r="J13" s="13">
        <v>0</v>
      </c>
      <c r="K13" s="20">
        <v>25</v>
      </c>
      <c r="L13" s="13">
        <v>-100</v>
      </c>
      <c r="M13" s="26" t="s">
        <v>396</v>
      </c>
    </row>
    <row r="14" spans="1:13" s="5" customFormat="1">
      <c r="A14" s="16" t="s">
        <v>397</v>
      </c>
      <c r="B14" s="13" t="s">
        <v>327</v>
      </c>
      <c r="C14" s="50">
        <v>45756</v>
      </c>
      <c r="D14" s="13" t="s">
        <v>382</v>
      </c>
      <c r="E14" s="20" t="s">
        <v>383</v>
      </c>
      <c r="F14" s="13">
        <v>1</v>
      </c>
      <c r="G14" s="20">
        <v>0</v>
      </c>
      <c r="H14" s="48">
        <v>0</v>
      </c>
      <c r="I14" s="20">
        <v>0</v>
      </c>
      <c r="J14" s="13">
        <v>0</v>
      </c>
      <c r="K14" s="20">
        <v>25</v>
      </c>
      <c r="L14" s="13">
        <v>-100</v>
      </c>
      <c r="M14" s="26" t="s">
        <v>398</v>
      </c>
    </row>
    <row r="15" spans="1:13" s="5" customFormat="1">
      <c r="A15" s="16" t="s">
        <v>399</v>
      </c>
      <c r="B15" s="13" t="s">
        <v>334</v>
      </c>
      <c r="C15" s="50">
        <v>45763</v>
      </c>
      <c r="D15" s="13" t="s">
        <v>368</v>
      </c>
      <c r="E15" s="20" t="s">
        <v>369</v>
      </c>
      <c r="F15" s="13">
        <v>2</v>
      </c>
      <c r="G15" s="20">
        <v>0</v>
      </c>
      <c r="H15" s="48">
        <v>0</v>
      </c>
      <c r="I15" s="20">
        <v>0</v>
      </c>
      <c r="J15" s="13">
        <v>0</v>
      </c>
      <c r="K15" s="20">
        <v>100</v>
      </c>
      <c r="L15" s="13">
        <v>-100</v>
      </c>
      <c r="M15" s="26" t="s">
        <v>400</v>
      </c>
    </row>
    <row r="16" spans="1:13" s="5" customFormat="1">
      <c r="A16" s="16" t="s">
        <v>401</v>
      </c>
      <c r="B16" s="13" t="s">
        <v>291</v>
      </c>
      <c r="C16" s="50">
        <v>45720</v>
      </c>
      <c r="D16" s="13" t="s">
        <v>382</v>
      </c>
      <c r="E16" s="20" t="s">
        <v>383</v>
      </c>
      <c r="F16" s="13">
        <v>1</v>
      </c>
      <c r="G16" s="20">
        <v>0</v>
      </c>
      <c r="H16" s="48">
        <v>0</v>
      </c>
      <c r="I16" s="20">
        <v>0</v>
      </c>
      <c r="J16" s="13">
        <v>0</v>
      </c>
      <c r="K16" s="20">
        <v>25</v>
      </c>
      <c r="L16" s="13">
        <v>-100</v>
      </c>
      <c r="M16" s="26" t="s">
        <v>402</v>
      </c>
    </row>
    <row r="17" spans="1:13" s="5" customFormat="1">
      <c r="A17" s="16" t="s">
        <v>403</v>
      </c>
      <c r="B17" s="13" t="s">
        <v>307</v>
      </c>
      <c r="C17" s="50">
        <v>45732</v>
      </c>
      <c r="D17" s="13" t="s">
        <v>382</v>
      </c>
      <c r="E17" s="20" t="s">
        <v>383</v>
      </c>
      <c r="F17" s="13">
        <v>1</v>
      </c>
      <c r="G17" s="20">
        <v>0</v>
      </c>
      <c r="H17" s="48">
        <v>0</v>
      </c>
      <c r="I17" s="20">
        <v>0</v>
      </c>
      <c r="J17" s="13">
        <v>0</v>
      </c>
      <c r="K17" s="20">
        <v>25</v>
      </c>
      <c r="L17" s="13">
        <v>-100</v>
      </c>
      <c r="M17" s="26" t="s">
        <v>404</v>
      </c>
    </row>
    <row r="18" spans="1:13" s="5" customFormat="1">
      <c r="A18" s="16" t="s">
        <v>405</v>
      </c>
      <c r="B18" s="13" t="s">
        <v>314</v>
      </c>
      <c r="C18" s="50">
        <v>45740</v>
      </c>
      <c r="D18" s="13" t="s">
        <v>368</v>
      </c>
      <c r="E18" s="20" t="s">
        <v>369</v>
      </c>
      <c r="F18" s="13">
        <v>2</v>
      </c>
      <c r="G18" s="20">
        <v>0</v>
      </c>
      <c r="H18" s="48">
        <v>0</v>
      </c>
      <c r="I18" s="20">
        <v>0</v>
      </c>
      <c r="J18" s="13">
        <v>0</v>
      </c>
      <c r="K18" s="20">
        <v>100</v>
      </c>
      <c r="L18" s="13">
        <v>-100</v>
      </c>
      <c r="M18" s="26" t="s">
        <v>406</v>
      </c>
    </row>
    <row r="19" spans="1:13" s="5" customFormat="1">
      <c r="A19" s="16" t="s">
        <v>407</v>
      </c>
      <c r="B19" s="13" t="s">
        <v>341</v>
      </c>
      <c r="C19" s="50">
        <v>45769</v>
      </c>
      <c r="D19" s="13" t="s">
        <v>382</v>
      </c>
      <c r="E19" s="20" t="s">
        <v>383</v>
      </c>
      <c r="F19" s="13">
        <v>1</v>
      </c>
      <c r="G19" s="20">
        <v>0</v>
      </c>
      <c r="H19" s="48">
        <v>0</v>
      </c>
      <c r="I19" s="20">
        <v>0</v>
      </c>
      <c r="J19" s="13">
        <v>0</v>
      </c>
      <c r="K19" s="20">
        <v>25</v>
      </c>
      <c r="L19" s="13">
        <v>-100</v>
      </c>
      <c r="M19" s="26" t="s">
        <v>408</v>
      </c>
    </row>
    <row r="20" spans="1:13" s="5" customFormat="1">
      <c r="A20" s="16" t="s">
        <v>409</v>
      </c>
      <c r="B20" s="13" t="s">
        <v>347</v>
      </c>
      <c r="C20" s="50">
        <v>45776</v>
      </c>
      <c r="D20" s="13" t="s">
        <v>368</v>
      </c>
      <c r="E20" s="20" t="s">
        <v>369</v>
      </c>
      <c r="F20" s="13">
        <v>2</v>
      </c>
      <c r="G20" s="20">
        <v>1</v>
      </c>
      <c r="H20" s="48">
        <v>0.5</v>
      </c>
      <c r="I20" s="20">
        <v>575000</v>
      </c>
      <c r="J20" s="13">
        <v>14375</v>
      </c>
      <c r="K20" s="20">
        <v>100</v>
      </c>
      <c r="L20" s="13">
        <v>14275</v>
      </c>
      <c r="M20" s="26" t="s">
        <v>410</v>
      </c>
    </row>
    <row r="21" spans="1:13" s="5" customFormat="1">
      <c r="A21" s="17" t="s">
        <v>411</v>
      </c>
      <c r="B21" s="14" t="s">
        <v>350</v>
      </c>
      <c r="C21" s="51">
        <v>45780</v>
      </c>
      <c r="D21" s="14" t="s">
        <v>382</v>
      </c>
      <c r="E21" s="21" t="s">
        <v>383</v>
      </c>
      <c r="F21" s="14">
        <v>1</v>
      </c>
      <c r="G21" s="21">
        <v>0</v>
      </c>
      <c r="H21" s="49">
        <v>0</v>
      </c>
      <c r="I21" s="21">
        <v>0</v>
      </c>
      <c r="J21" s="14">
        <v>0</v>
      </c>
      <c r="K21" s="21">
        <v>25</v>
      </c>
      <c r="L21" s="14">
        <v>-100</v>
      </c>
      <c r="M21" s="27" t="s">
        <v>412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2025-07-29T13:18:55Z</dcterms:created>
  <dcterms:modified xsi:type="dcterms:W3CDTF">2025-10-16T12:47:47Z</dcterms:modified>
  <cp:category/>
  <cp:contentStatus/>
</cp:coreProperties>
</file>