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0" tabRatio="500"/>
  </bookViews>
  <sheets>
    <sheet name="Read Me First" sheetId="1" r:id="rId1"/>
    <sheet name="Dashboard" sheetId="2" r:id="rId2"/>
    <sheet name="Lead Log" sheetId="3" r:id="rId3"/>
    <sheet name="Source Breakdown" sheetId="4" r:id="rId4"/>
    <sheet name="Agent Scorecard" sheetId="5" r:id="rId5"/>
    <sheet name="Cost of Delay Calculator" sheetId="6" r:id="rId6"/>
    <sheet name="Benchmark Reference" sheetId="7" r:id="rId7"/>
  </sheets>
  <definedNames>
    <definedName name="_xlnm.Print_Area" localSheetId="4">'Agent Scorecard'!$A$1:$H$16</definedName>
    <definedName name="_xlnm.Print_Area" localSheetId="6">'Benchmark Reference'!$A$1:$C$25</definedName>
    <definedName name="_xlnm.Print_Area" localSheetId="5">'Cost of Delay Calculator'!$A$1:$G$30</definedName>
    <definedName name="_xlnm.Print_Area" localSheetId="1">Dashboard!$A$1:$H$25</definedName>
    <definedName name="_xlnm.Print_Area" localSheetId="2">'Lead Log'!$A$1:$I$34</definedName>
    <definedName name="_xlnm.Print_Area" localSheetId="0">'Read Me First'!$A$1:$C$38</definedName>
    <definedName name="_xlnm.Print_Area" localSheetId="3">'Source Breakdown'!$A$1:$G$45</definedName>
  </definedNames>
  <calcPr calcId="1445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10" i="5" l="1"/>
  <c r="G10" i="5" s="1"/>
  <c r="F9" i="5"/>
  <c r="G9" i="5" s="1"/>
  <c r="G8" i="5"/>
  <c r="F8" i="5"/>
  <c r="F7" i="5"/>
  <c r="G7" i="5" s="1"/>
  <c r="G6" i="5"/>
  <c r="F6" i="5"/>
  <c r="F12" i="5" s="1"/>
  <c r="F13" i="4"/>
  <c r="C13" i="4"/>
  <c r="G13" i="4" s="1"/>
  <c r="F12" i="4"/>
  <c r="G12" i="4" s="1"/>
  <c r="C12" i="4"/>
  <c r="F11" i="4"/>
  <c r="C11" i="4"/>
  <c r="G11" i="4" s="1"/>
  <c r="F10" i="4"/>
  <c r="G10" i="4" s="1"/>
  <c r="C10" i="4"/>
  <c r="F9" i="4"/>
  <c r="C9" i="4"/>
  <c r="G9" i="4" s="1"/>
  <c r="F8" i="4"/>
  <c r="G8" i="4" s="1"/>
  <c r="C8" i="4"/>
  <c r="F7" i="4"/>
  <c r="C7" i="4"/>
  <c r="G7" i="4" s="1"/>
  <c r="F6" i="4"/>
  <c r="G6" i="4" s="1"/>
  <c r="C6" i="4"/>
  <c r="C14" i="4" s="1"/>
  <c r="G200" i="3"/>
  <c r="H200" i="3" s="1"/>
  <c r="G199" i="3"/>
  <c r="H199" i="3" s="1"/>
  <c r="G198" i="3"/>
  <c r="H198" i="3" s="1"/>
  <c r="G197" i="3"/>
  <c r="H197" i="3" s="1"/>
  <c r="G196" i="3"/>
  <c r="H196" i="3" s="1"/>
  <c r="G195" i="3"/>
  <c r="H195" i="3" s="1"/>
  <c r="G194" i="3"/>
  <c r="H194" i="3" s="1"/>
  <c r="G193" i="3"/>
  <c r="H193" i="3" s="1"/>
  <c r="G192" i="3"/>
  <c r="H192" i="3" s="1"/>
  <c r="G191" i="3"/>
  <c r="H191" i="3" s="1"/>
  <c r="G190" i="3"/>
  <c r="H190" i="3" s="1"/>
  <c r="G189" i="3"/>
  <c r="H189" i="3" s="1"/>
  <c r="G188" i="3"/>
  <c r="H188" i="3" s="1"/>
  <c r="G187" i="3"/>
  <c r="H187" i="3" s="1"/>
  <c r="G186" i="3"/>
  <c r="H186" i="3" s="1"/>
  <c r="G185" i="3"/>
  <c r="H185" i="3" s="1"/>
  <c r="G184" i="3"/>
  <c r="H184" i="3" s="1"/>
  <c r="G183" i="3"/>
  <c r="H183" i="3" s="1"/>
  <c r="G182" i="3"/>
  <c r="H182" i="3" s="1"/>
  <c r="G181" i="3"/>
  <c r="H181" i="3" s="1"/>
  <c r="G180" i="3"/>
  <c r="H180" i="3" s="1"/>
  <c r="G179" i="3"/>
  <c r="H179" i="3" s="1"/>
  <c r="G178" i="3"/>
  <c r="H178" i="3" s="1"/>
  <c r="G177" i="3"/>
  <c r="H177" i="3" s="1"/>
  <c r="G176" i="3"/>
  <c r="H176" i="3" s="1"/>
  <c r="G175" i="3"/>
  <c r="H175" i="3" s="1"/>
  <c r="G174" i="3"/>
  <c r="H174" i="3" s="1"/>
  <c r="G173" i="3"/>
  <c r="H173" i="3" s="1"/>
  <c r="G172" i="3"/>
  <c r="H172" i="3" s="1"/>
  <c r="G171" i="3"/>
  <c r="H171" i="3" s="1"/>
  <c r="G170" i="3"/>
  <c r="H170" i="3" s="1"/>
  <c r="G169" i="3"/>
  <c r="H169" i="3" s="1"/>
  <c r="G168" i="3"/>
  <c r="H168" i="3" s="1"/>
  <c r="G167" i="3"/>
  <c r="H167" i="3" s="1"/>
  <c r="G166" i="3"/>
  <c r="H166" i="3" s="1"/>
  <c r="G165" i="3"/>
  <c r="H165" i="3" s="1"/>
  <c r="G164" i="3"/>
  <c r="H164" i="3" s="1"/>
  <c r="G163" i="3"/>
  <c r="H163" i="3" s="1"/>
  <c r="G162" i="3"/>
  <c r="H162" i="3" s="1"/>
  <c r="G161" i="3"/>
  <c r="H161" i="3" s="1"/>
  <c r="G160" i="3"/>
  <c r="H160" i="3" s="1"/>
  <c r="G159" i="3"/>
  <c r="H159" i="3" s="1"/>
  <c r="G158" i="3"/>
  <c r="H158" i="3" s="1"/>
  <c r="G157" i="3"/>
  <c r="H157" i="3" s="1"/>
  <c r="G156" i="3"/>
  <c r="H156" i="3" s="1"/>
  <c r="G155" i="3"/>
  <c r="H155" i="3" s="1"/>
  <c r="G154" i="3"/>
  <c r="H154" i="3" s="1"/>
  <c r="G153" i="3"/>
  <c r="H153" i="3" s="1"/>
  <c r="G152" i="3"/>
  <c r="H152" i="3" s="1"/>
  <c r="G151" i="3"/>
  <c r="H151" i="3" s="1"/>
  <c r="G150" i="3"/>
  <c r="H150" i="3" s="1"/>
  <c r="G149" i="3"/>
  <c r="H149" i="3" s="1"/>
  <c r="G148" i="3"/>
  <c r="H148" i="3" s="1"/>
  <c r="G147" i="3"/>
  <c r="H147" i="3" s="1"/>
  <c r="G146" i="3"/>
  <c r="H146" i="3" s="1"/>
  <c r="G145" i="3"/>
  <c r="H145" i="3" s="1"/>
  <c r="G144" i="3"/>
  <c r="H144" i="3" s="1"/>
  <c r="G143" i="3"/>
  <c r="H143" i="3" s="1"/>
  <c r="G142" i="3"/>
  <c r="H142" i="3" s="1"/>
  <c r="G141" i="3"/>
  <c r="H141" i="3" s="1"/>
  <c r="G140" i="3"/>
  <c r="H140" i="3" s="1"/>
  <c r="G139" i="3"/>
  <c r="H139" i="3" s="1"/>
  <c r="G138" i="3"/>
  <c r="H138" i="3" s="1"/>
  <c r="G137" i="3"/>
  <c r="H137" i="3" s="1"/>
  <c r="G136" i="3"/>
  <c r="H136" i="3" s="1"/>
  <c r="G135" i="3"/>
  <c r="H135" i="3" s="1"/>
  <c r="G134" i="3"/>
  <c r="H134" i="3" s="1"/>
  <c r="G133" i="3"/>
  <c r="H133" i="3" s="1"/>
  <c r="G132" i="3"/>
  <c r="H132" i="3" s="1"/>
  <c r="G131" i="3"/>
  <c r="H131" i="3" s="1"/>
  <c r="G130" i="3"/>
  <c r="H130" i="3" s="1"/>
  <c r="G129" i="3"/>
  <c r="H129" i="3" s="1"/>
  <c r="G128" i="3"/>
  <c r="H128" i="3" s="1"/>
  <c r="G127" i="3"/>
  <c r="H127" i="3" s="1"/>
  <c r="G126" i="3"/>
  <c r="H126" i="3" s="1"/>
  <c r="G125" i="3"/>
  <c r="H125" i="3" s="1"/>
  <c r="G124" i="3"/>
  <c r="H124" i="3" s="1"/>
  <c r="G123" i="3"/>
  <c r="H123" i="3" s="1"/>
  <c r="G122" i="3"/>
  <c r="H122" i="3" s="1"/>
  <c r="G121" i="3"/>
  <c r="H121" i="3" s="1"/>
  <c r="G120" i="3"/>
  <c r="H120" i="3" s="1"/>
  <c r="G119" i="3"/>
  <c r="H119" i="3" s="1"/>
  <c r="G118" i="3"/>
  <c r="H118" i="3" s="1"/>
  <c r="G117" i="3"/>
  <c r="H117" i="3" s="1"/>
  <c r="G116" i="3"/>
  <c r="H116" i="3" s="1"/>
  <c r="G115" i="3"/>
  <c r="H115" i="3" s="1"/>
  <c r="G114" i="3"/>
  <c r="H114" i="3" s="1"/>
  <c r="G113" i="3"/>
  <c r="H113" i="3" s="1"/>
  <c r="G112" i="3"/>
  <c r="H112" i="3" s="1"/>
  <c r="G111" i="3"/>
  <c r="H111" i="3" s="1"/>
  <c r="G110" i="3"/>
  <c r="H110" i="3" s="1"/>
  <c r="G109" i="3"/>
  <c r="H109" i="3" s="1"/>
  <c r="G108" i="3"/>
  <c r="H108" i="3" s="1"/>
  <c r="G107" i="3"/>
  <c r="H107" i="3" s="1"/>
  <c r="G106" i="3"/>
  <c r="H106" i="3" s="1"/>
  <c r="G105" i="3"/>
  <c r="H105" i="3" s="1"/>
  <c r="G104" i="3"/>
  <c r="H104" i="3" s="1"/>
  <c r="G103" i="3"/>
  <c r="H103" i="3" s="1"/>
  <c r="G102" i="3"/>
  <c r="H102" i="3" s="1"/>
  <c r="G101" i="3"/>
  <c r="H101" i="3" s="1"/>
  <c r="G100" i="3"/>
  <c r="H100" i="3" s="1"/>
  <c r="G99" i="3"/>
  <c r="H99" i="3" s="1"/>
  <c r="G98" i="3"/>
  <c r="H98" i="3" s="1"/>
  <c r="G97" i="3"/>
  <c r="H97" i="3" s="1"/>
  <c r="G96" i="3"/>
  <c r="H96" i="3" s="1"/>
  <c r="G95" i="3"/>
  <c r="H95" i="3" s="1"/>
  <c r="G94" i="3"/>
  <c r="H94" i="3" s="1"/>
  <c r="G93" i="3"/>
  <c r="H93" i="3" s="1"/>
  <c r="G92" i="3"/>
  <c r="H92" i="3" s="1"/>
  <c r="G91" i="3"/>
  <c r="H91" i="3" s="1"/>
  <c r="G90" i="3"/>
  <c r="H90" i="3" s="1"/>
  <c r="G89" i="3"/>
  <c r="H89" i="3" s="1"/>
  <c r="G88" i="3"/>
  <c r="H88" i="3" s="1"/>
  <c r="G87" i="3"/>
  <c r="H87" i="3" s="1"/>
  <c r="G86" i="3"/>
  <c r="H86" i="3" s="1"/>
  <c r="G85" i="3"/>
  <c r="H85" i="3" s="1"/>
  <c r="G84" i="3"/>
  <c r="H84" i="3" s="1"/>
  <c r="G83" i="3"/>
  <c r="H83" i="3" s="1"/>
  <c r="G82" i="3"/>
  <c r="H82" i="3" s="1"/>
  <c r="G81" i="3"/>
  <c r="H81" i="3" s="1"/>
  <c r="G80" i="3"/>
  <c r="H80" i="3" s="1"/>
  <c r="G79" i="3"/>
  <c r="H79" i="3" s="1"/>
  <c r="G78" i="3"/>
  <c r="H78" i="3" s="1"/>
  <c r="G77" i="3"/>
  <c r="H77" i="3" s="1"/>
  <c r="G76" i="3"/>
  <c r="H76" i="3" s="1"/>
  <c r="G75" i="3"/>
  <c r="H75" i="3" s="1"/>
  <c r="G74" i="3"/>
  <c r="H74" i="3" s="1"/>
  <c r="G73" i="3"/>
  <c r="H73" i="3" s="1"/>
  <c r="G72" i="3"/>
  <c r="H72" i="3" s="1"/>
  <c r="G71" i="3"/>
  <c r="H71" i="3" s="1"/>
  <c r="G70" i="3"/>
  <c r="H70" i="3" s="1"/>
  <c r="G69" i="3"/>
  <c r="H69" i="3" s="1"/>
  <c r="G68" i="3"/>
  <c r="H68" i="3" s="1"/>
  <c r="G67" i="3"/>
  <c r="H67" i="3" s="1"/>
  <c r="G66" i="3"/>
  <c r="H66" i="3" s="1"/>
  <c r="G65" i="3"/>
  <c r="H65" i="3" s="1"/>
  <c r="G64" i="3"/>
  <c r="H64" i="3" s="1"/>
  <c r="G63" i="3"/>
  <c r="H63" i="3" s="1"/>
  <c r="G62" i="3"/>
  <c r="H62" i="3" s="1"/>
  <c r="G61" i="3"/>
  <c r="H61" i="3" s="1"/>
  <c r="G60" i="3"/>
  <c r="H60" i="3" s="1"/>
  <c r="G59" i="3"/>
  <c r="H59" i="3" s="1"/>
  <c r="G58" i="3"/>
  <c r="H58" i="3" s="1"/>
  <c r="G57" i="3"/>
  <c r="H57" i="3" s="1"/>
  <c r="G56" i="3"/>
  <c r="H56" i="3" s="1"/>
  <c r="G55" i="3"/>
  <c r="H55" i="3" s="1"/>
  <c r="G54" i="3"/>
  <c r="H54" i="3" s="1"/>
  <c r="G53" i="3"/>
  <c r="H53" i="3" s="1"/>
  <c r="G52" i="3"/>
  <c r="H52" i="3" s="1"/>
  <c r="G51" i="3"/>
  <c r="H51" i="3" s="1"/>
  <c r="G50" i="3"/>
  <c r="H50" i="3" s="1"/>
  <c r="G49" i="3"/>
  <c r="H49" i="3" s="1"/>
  <c r="G48" i="3"/>
  <c r="H48" i="3" s="1"/>
  <c r="G47" i="3"/>
  <c r="H47" i="3" s="1"/>
  <c r="G46" i="3"/>
  <c r="H46" i="3" s="1"/>
  <c r="G45" i="3"/>
  <c r="H45" i="3" s="1"/>
  <c r="G44" i="3"/>
  <c r="H44" i="3" s="1"/>
  <c r="G43" i="3"/>
  <c r="H43" i="3" s="1"/>
  <c r="G42" i="3"/>
  <c r="H42" i="3" s="1"/>
  <c r="G41" i="3"/>
  <c r="H41" i="3" s="1"/>
  <c r="G40" i="3"/>
  <c r="H40" i="3" s="1"/>
  <c r="G39" i="3"/>
  <c r="H39" i="3" s="1"/>
  <c r="G38" i="3"/>
  <c r="H38" i="3" s="1"/>
  <c r="G37" i="3"/>
  <c r="H37" i="3" s="1"/>
  <c r="G36" i="3"/>
  <c r="H36" i="3" s="1"/>
  <c r="G35" i="3"/>
  <c r="H35" i="3" s="1"/>
  <c r="G34" i="3"/>
  <c r="H34" i="3" s="1"/>
  <c r="G33" i="3"/>
  <c r="H33" i="3" s="1"/>
  <c r="G32" i="3"/>
  <c r="H32" i="3" s="1"/>
  <c r="G31" i="3"/>
  <c r="H31" i="3" s="1"/>
  <c r="G30" i="3"/>
  <c r="H30" i="3" s="1"/>
  <c r="G29" i="3"/>
  <c r="H29" i="3" s="1"/>
  <c r="G28" i="3"/>
  <c r="H28" i="3" s="1"/>
  <c r="G27" i="3"/>
  <c r="H27" i="3" s="1"/>
  <c r="G26" i="3"/>
  <c r="H26" i="3" s="1"/>
  <c r="G25" i="3"/>
  <c r="H25" i="3" s="1"/>
  <c r="G24" i="3"/>
  <c r="H24" i="3" s="1"/>
  <c r="G23" i="3"/>
  <c r="D10" i="4" s="1"/>
  <c r="G22" i="3"/>
  <c r="D13" i="4" s="1"/>
  <c r="G21" i="3"/>
  <c r="H21" i="3" s="1"/>
  <c r="G20" i="3"/>
  <c r="H20" i="3" s="1"/>
  <c r="G19" i="3"/>
  <c r="H19" i="3" s="1"/>
  <c r="G18" i="3"/>
  <c r="D8" i="4" s="1"/>
  <c r="G17" i="3"/>
  <c r="H17" i="3" s="1"/>
  <c r="G16" i="3"/>
  <c r="H16" i="3" s="1"/>
  <c r="G15" i="3"/>
  <c r="D12" i="4" s="1"/>
  <c r="G14" i="3"/>
  <c r="H14" i="3" s="1"/>
  <c r="G13" i="3"/>
  <c r="H13" i="3" s="1"/>
  <c r="G12" i="3"/>
  <c r="C9" i="5" s="1"/>
  <c r="G11" i="3"/>
  <c r="D11" i="4" s="1"/>
  <c r="G10" i="3"/>
  <c r="C8" i="5" s="1"/>
  <c r="G9" i="3"/>
  <c r="D6" i="4" s="1"/>
  <c r="G8" i="3"/>
  <c r="D9" i="4" s="1"/>
  <c r="G7" i="3"/>
  <c r="C7" i="5" s="1"/>
  <c r="G6" i="3"/>
  <c r="C10" i="5" s="1"/>
  <c r="G5" i="3"/>
  <c r="H5" i="3" s="1"/>
  <c r="E6" i="2"/>
  <c r="D6" i="2"/>
  <c r="B6" i="2"/>
  <c r="C6" i="2" l="1"/>
  <c r="H6" i="3"/>
  <c r="C12" i="2" s="1"/>
  <c r="H7" i="3"/>
  <c r="H8" i="3"/>
  <c r="H9" i="3"/>
  <c r="H10" i="3"/>
  <c r="H11" i="3"/>
  <c r="H12" i="3"/>
  <c r="H15" i="3"/>
  <c r="H18" i="3"/>
  <c r="H22" i="3"/>
  <c r="H23" i="3"/>
  <c r="G12" i="5"/>
  <c r="C14" i="6"/>
  <c r="E9" i="5" a="1"/>
  <c r="E9" i="5" s="1"/>
  <c r="D9" i="5" a="1"/>
  <c r="D9" i="5" s="1"/>
  <c r="E7" i="5" a="1"/>
  <c r="E7" i="5" s="1"/>
  <c r="D7" i="5" a="1"/>
  <c r="D7" i="5" s="1"/>
  <c r="E14" i="4"/>
  <c r="D7" i="4"/>
  <c r="C15" i="6"/>
  <c r="C13" i="6"/>
  <c r="E10" i="5" a="1"/>
  <c r="E10" i="5" s="1"/>
  <c r="D10" i="5" a="1"/>
  <c r="D10" i="5" s="1"/>
  <c r="E8" i="5" a="1"/>
  <c r="E8" i="5" s="1"/>
  <c r="D8" i="5" a="1"/>
  <c r="D8" i="5" s="1"/>
  <c r="E6" i="5" a="1"/>
  <c r="E6" i="5" s="1"/>
  <c r="D6" i="5" a="1"/>
  <c r="D6" i="5" s="1"/>
  <c r="C6" i="5"/>
  <c r="D14" i="4"/>
  <c r="E8" i="4"/>
  <c r="E10" i="4"/>
  <c r="E12" i="4"/>
  <c r="E7" i="4"/>
  <c r="E9" i="4"/>
  <c r="E11" i="4"/>
  <c r="E13" i="4"/>
  <c r="F14" i="4"/>
  <c r="G14" i="4" s="1"/>
  <c r="E6" i="4"/>
  <c r="C12" i="5" l="1"/>
  <c r="C20" i="2"/>
  <c r="C19" i="2"/>
  <c r="C18" i="2"/>
  <c r="C17" i="2"/>
  <c r="C16" i="2"/>
  <c r="D20" i="2"/>
  <c r="D19" i="2"/>
  <c r="D18" i="2"/>
  <c r="D17" i="2"/>
  <c r="D16" i="2"/>
  <c r="C10" i="2"/>
  <c r="C18" i="6"/>
  <c r="C19" i="6"/>
  <c r="C20" i="6" s="1"/>
  <c r="C21" i="6" s="1"/>
  <c r="C22" i="6" s="1"/>
  <c r="C11" i="2"/>
  <c r="D11" i="2" s="1"/>
  <c r="E17" i="2" l="1"/>
  <c r="F17" i="2"/>
  <c r="E19" i="2"/>
  <c r="F19" i="2"/>
  <c r="D10" i="2"/>
  <c r="E16" i="2"/>
  <c r="F16" i="2"/>
  <c r="E18" i="2"/>
  <c r="F18" i="2"/>
  <c r="E20" i="2"/>
  <c r="F20" i="2"/>
  <c r="D12" i="2"/>
</calcChain>
</file>

<file path=xl/sharedStrings.xml><?xml version="1.0" encoding="utf-8"?>
<sst xmlns="http://schemas.openxmlformats.org/spreadsheetml/2006/main" count="262" uniqueCount="164">
  <si>
    <t>Speed-to-Lead Response Tracker</t>
  </si>
  <si>
    <t>Built by Retyn  |  The AI-Powered CRM for Real Estate Teams</t>
  </si>
  <si>
    <t>Why this workbook exists</t>
  </si>
  <si>
    <t>Every minute a new lead waits for a reply, your odds of ever reaching them drop. Most teams know speed-to-lead matters,</t>
  </si>
  <si>
    <t>but very few can actually answer 'what is our real average response time today?' without digging through call logs,</t>
  </si>
  <si>
    <t>inboxes, and memory. This workbook gives you one place to log every lead's response time and see exactly where you're</t>
  </si>
  <si>
    <t>losing ground — by agent, by lead source, and by time of day.</t>
  </si>
  <si>
    <t>How to use it</t>
  </si>
  <si>
    <t>1. Log every new lead in the 'Lead Log' tab as it comes in — name, source, time received, time first contacted.</t>
  </si>
  <si>
    <t>2. The Dashboard, Source Breakdown, and Agent Scorecard tabs update automatically. You don't touch them directly.</t>
  </si>
  <si>
    <t>3. Use the Cost of Delay Calculator to put a dollar figure on slow response — this is usually the number that gets</t>
  </si>
  <si>
    <t xml:space="preserve">   leadership to prioritize fixing the process.</t>
  </si>
  <si>
    <t>4. Check the Benchmark Reference tab any time you want context for what 'good' actually looks like in this industry.</t>
  </si>
  <si>
    <t>What's inside</t>
  </si>
  <si>
    <t>Dashboard               Auto-calculated team averages, 5-minute response rate, and agent leaderboard</t>
  </si>
  <si>
    <t>Lead Log                 Raw entry sheet — this is the only tab you need to type into regularly</t>
  </si>
  <si>
    <t>Source Breakdown      Response time and conversion rate by lead source</t>
  </si>
  <si>
    <t>Agent Scorecard         Per-agent response time and conversion performance</t>
  </si>
  <si>
    <t>Cost of Delay Calc      Estimated revenue lost to slow response, based on your own deal value and conversion data</t>
  </si>
  <si>
    <t>Benchmark Reference   Industry data points for context on response-time impact</t>
  </si>
  <si>
    <t>A note on the data already in this sheet</t>
  </si>
  <si>
    <t>The Lead Log comes pre-filled with 30 sample leads so you can see exactly how the formulas and formatting work.</t>
  </si>
  <si>
    <t>Delete the sample rows (rows 5 to 34) and start entering your own data — every formula keeps working automatically</t>
  </si>
  <si>
    <t>as long as you stay within the table, which runs down to row 200.</t>
  </si>
  <si>
    <t>Why teams use Retyn instead of a spreadsheet for this</t>
  </si>
  <si>
    <t>This tracker will tell you the truth about your response times — but it can't fix them on its own. It can't route a</t>
  </si>
  <si>
    <t>new lead to the next available agent in real time, can't text a lead back in 60 seconds while you're still logging</t>
  </si>
  <si>
    <t>the row, and won't alert you the moment a hot lead has gone quiet for 20 minutes. That's the gap between knowing</t>
  </si>
  <si>
    <t>your numbers and improving them automatically — which is what Retyn's AI-powered lead routing and speed-to-lead</t>
  </si>
  <si>
    <t>automation does for real estate teams out of the box.</t>
  </si>
  <si>
    <t>See how Retyn automates speed-to-lead --&gt;  retyn.ai/real-estate-crm-platform</t>
  </si>
  <si>
    <t>Dashboard</t>
  </si>
  <si>
    <t>Team-wide speed-to-lead performance, updated automatically from the Lead Log</t>
  </si>
  <si>
    <t>Total Leads Logged</t>
  </si>
  <si>
    <t>Avg Response Time (min)</t>
  </si>
  <si>
    <t>% Contacted Within 5 Min</t>
  </si>
  <si>
    <t>Overall Conversion Rate</t>
  </si>
  <si>
    <t>Lead Status Mix</t>
  </si>
  <si>
    <t>Status</t>
  </si>
  <si>
    <t>Count</t>
  </si>
  <si>
    <t>% of Total</t>
  </si>
  <si>
    <t>On Target</t>
  </si>
  <si>
    <t>Delayed</t>
  </si>
  <si>
    <t>Cold Risk</t>
  </si>
  <si>
    <t>Agent Leaderboard — Avg Response Time</t>
  </si>
  <si>
    <t>Rank</t>
  </si>
  <si>
    <t>Agent</t>
  </si>
  <si>
    <t>Avg Response (min)</t>
  </si>
  <si>
    <t>Leads Handled</t>
  </si>
  <si>
    <t>Conversion Rate</t>
  </si>
  <si>
    <t>Tip: sort the Lead Log by 'Status' to instantly see every Cold Risk lead that needs an apology call.</t>
  </si>
  <si>
    <t>Lead Log</t>
  </si>
  <si>
    <t>Log every new lead the moment it arrives. Everything else in this workbook updates automatically.</t>
  </si>
  <si>
    <t>#</t>
  </si>
  <si>
    <t>Lead Name</t>
  </si>
  <si>
    <t>Lead Source</t>
  </si>
  <si>
    <t>Date/Time Received</t>
  </si>
  <si>
    <t>Date/Time First Contacted</t>
  </si>
  <si>
    <t>Agent Assigned</t>
  </si>
  <si>
    <t>Response Time (min)</t>
  </si>
  <si>
    <t>Converted?</t>
  </si>
  <si>
    <t>Alex Turner</t>
  </si>
  <si>
    <t>Realtor.com</t>
  </si>
  <si>
    <t>Maria Chen</t>
  </si>
  <si>
    <t>Yes</t>
  </si>
  <si>
    <t>Sam Reyes</t>
  </si>
  <si>
    <t>Lena Volkov</t>
  </si>
  <si>
    <t>Jordan Lee</t>
  </si>
  <si>
    <t>James Okafor</t>
  </si>
  <si>
    <t>Casey Park</t>
  </si>
  <si>
    <t>Referral</t>
  </si>
  <si>
    <t>No</t>
  </si>
  <si>
    <t>Morgan Diaz</t>
  </si>
  <si>
    <t>Zillow</t>
  </si>
  <si>
    <t>Taylor Singh</t>
  </si>
  <si>
    <t>Priya Nair</t>
  </si>
  <si>
    <t>Riley Cooper</t>
  </si>
  <si>
    <t>Open House</t>
  </si>
  <si>
    <t>Avery Brooks</t>
  </si>
  <si>
    <t>Tom Bennett</t>
  </si>
  <si>
    <t>Quinn Foster</t>
  </si>
  <si>
    <t>Drew Ramirez</t>
  </si>
  <si>
    <t>Jamie Holt</t>
  </si>
  <si>
    <t>Facebook Ads</t>
  </si>
  <si>
    <t>Skyler Webb</t>
  </si>
  <si>
    <t>Cameron Reid</t>
  </si>
  <si>
    <t>Hayden Cruz</t>
  </si>
  <si>
    <t>PPC - Google</t>
  </si>
  <si>
    <t>Rowan Mills</t>
  </si>
  <si>
    <t>Emerson Hale</t>
  </si>
  <si>
    <t>Finley Grant</t>
  </si>
  <si>
    <t>Dakota Shaw</t>
  </si>
  <si>
    <t>Past Client DB</t>
  </si>
  <si>
    <t>Sage Patel</t>
  </si>
  <si>
    <t>Website Form</t>
  </si>
  <si>
    <t>Reese Caldwell</t>
  </si>
  <si>
    <t>Ariel Sanders</t>
  </si>
  <si>
    <t>Devon Marsh</t>
  </si>
  <si>
    <t>Tatum Reilly</t>
  </si>
  <si>
    <t>Phoenix Ortiz</t>
  </si>
  <si>
    <t>Kai Sullivan</t>
  </si>
  <si>
    <t>Remy Bishop</t>
  </si>
  <si>
    <t>Sloane Carter</t>
  </si>
  <si>
    <t>Ellis Monroe</t>
  </si>
  <si>
    <t>Briar Quinn</t>
  </si>
  <si>
    <t>Wren Donovan</t>
  </si>
  <si>
    <t>Source Breakdown</t>
  </si>
  <si>
    <t>See which lead sources get the fastest response and which actually convert</t>
  </si>
  <si>
    <t>Leads Received</t>
  </si>
  <si>
    <t>% Within 5 Min</t>
  </si>
  <si>
    <t>Converted</t>
  </si>
  <si>
    <t>TOTAL / TEAM AVERAGE</t>
  </si>
  <si>
    <t>Read this tab as: where are my fastest, highest-converting leads coming from — and should I spend more there?</t>
  </si>
  <si>
    <t>Agent Scorecard</t>
  </si>
  <si>
    <t>Per-agent response performance — use this for coaching, not blame</t>
  </si>
  <si>
    <t>Fastest Response</t>
  </si>
  <si>
    <t>Slowest Response</t>
  </si>
  <si>
    <t>Total Leads Handled</t>
  </si>
  <si>
    <t>TEAM AVERAGE</t>
  </si>
  <si>
    <t>Use this for 1:1 coaching: agents with high conversion but slow response are leaving deals on the table. Agents with fast response but low conversion may need a script or qualification review, not a speed fix.</t>
  </si>
  <si>
    <t>Cost of Delay Calculator</t>
  </si>
  <si>
    <t>Put a real dollar figure on what slow response is costing your team</t>
  </si>
  <si>
    <t>STEP 1 — Your Business Inputs</t>
  </si>
  <si>
    <t>Average commission per closed deal ($)</t>
  </si>
  <si>
    <t>Total leads handled per month</t>
  </si>
  <si>
    <t>Current conversion rate — leads contacted within 5 min</t>
  </si>
  <si>
    <t>Current conversion rate — leads contacted 5 to 30 min</t>
  </si>
  <si>
    <t>Current conversion rate — leads contacted after 30 min</t>
  </si>
  <si>
    <t>STEP 2 — Pulled Automatically From Your Lead Log</t>
  </si>
  <si>
    <t>Leads currently contacted within 5 min (this month's log)</t>
  </si>
  <si>
    <t>Leads currently contacted 5–30 min</t>
  </si>
  <si>
    <t>Leads currently contacted after 30 min</t>
  </si>
  <si>
    <t>RESULT — Estimated Monthly Impact</t>
  </si>
  <si>
    <t>Deals won this month at your CURRENT response mix</t>
  </si>
  <si>
    <t>Deals you'd win if EVERY lead were contacted within 5 min</t>
  </si>
  <si>
    <t>Deals lost to slow response, per month</t>
  </si>
  <si>
    <t>Estimated commission revenue lost, per month ($)</t>
  </si>
  <si>
    <t>Annualized estimated revenue lost ($)</t>
  </si>
  <si>
    <t>How to use this number</t>
  </si>
  <si>
    <t>This isn't a precise audit — it's a directional estimate using your own conversion data to show the size of the</t>
  </si>
  <si>
    <t>problem. Most teams use this number to justify investing in automated lead routing and instant response tools —</t>
  </si>
  <si>
    <t>since closing even a fraction of this gap usually pays for the software many times over.</t>
  </si>
  <si>
    <t>Retyn's AI lead routing connects new leads to the right agent in seconds, automatically — see how it works at retyn.ai/real-estate-crm-platform</t>
  </si>
  <si>
    <t>Benchmark Reference</t>
  </si>
  <si>
    <t>Industry data on how response time affects conversion — for context when reading your own numbers</t>
  </si>
  <si>
    <t>Finding</t>
  </si>
  <si>
    <t>Source</t>
  </si>
  <si>
    <t>Leads contacted within 5 minutes are roughly 21x more likely to be qualified than leads contacted after 30 minutes.</t>
  </si>
  <si>
    <t>Lead Response Management Study, Dr. James Oldroyd, MIT / InsideSales.com</t>
  </si>
  <si>
    <t>Contact rates fall sharply once the first 5 minutes pass, with the steepest drop-off occurring in that initial window.</t>
  </si>
  <si>
    <t>Harvard Business Review, "The Short Life of Online Sales Leads," 2011</t>
  </si>
  <si>
    <t>The average real estate agent takes well over an hour, and by some survey measures several hours, to respond to a new lead inquiry.</t>
  </si>
  <si>
    <t>Inman Real Estate Technology Survey</t>
  </si>
  <si>
    <t>The first agent or business to respond to an inquiry wins the large majority of the time across competitive markets.</t>
  </si>
  <si>
    <t>Teams using a dedicated inside sales agent (ISA) model for first response report meaningfully higher conversion than teams where agents self-manage incoming leads.</t>
  </si>
  <si>
    <t>Conversion Realtor, 2026 Real Estate Conversion Benchmarks</t>
  </si>
  <si>
    <t>Even top-performing teams rarely exceed roughly 15% conversion on internet-sourced leads, suggesting diminishing returns past a certain response-speed threshold.</t>
  </si>
  <si>
    <t>Most agents make only one or two follow-up attempts before abandoning a lead, while closing a sale typically requires several follow-up touches.</t>
  </si>
  <si>
    <t>A note on these numbers</t>
  </si>
  <si>
    <t>Many of the often-cited multiples in this space (e.g. specific '21x' or '100x' figures) trace back to a small number of</t>
  </si>
  <si>
    <t>original studies that get re-cited, rounded, and sometimes amplified across marketing content. Treat the exact</t>
  </si>
  <si>
    <t>multiples as directional rather than precise — the underlying pattern (fast response dramatically outperforms slow</t>
  </si>
  <si>
    <t>response, with the steepest drop-off in the first several minutes) is well-supported and consistent across sources.</t>
  </si>
  <si>
    <t>How Retyn closes this gap automatically --&gt;  retyn.ai/real-estate-crm-platform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</si>
</sst>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0.0%"/>
    <numFmt numFmtId="166" formatCode="mm/dd/yyyy\ hh:mm\ AM/PM"/>
    <numFmt numFmtId="167" formatCode="\$#,##0"/>
  </numFmts>
  <fonts count="26" x14ac:knownFonts="1">
    <font>
      <sz val="11"/>
      <color theme="1"/>
      <name val="Calibri"/>
      <family val="2"/>
      <charset val="1"/>
    </font>
    <font>
      <b/>
      <sz val="16"/>
      <color rgb="FFFFFFFF"/>
      <name val="Calibri"/>
      <charset val="1"/>
    </font>
    <font>
      <i/>
      <sz val="10.5"/>
      <color rgb="FFD9D9E3"/>
      <name val="Calibri"/>
      <charset val="1"/>
    </font>
    <font>
      <b/>
      <sz val="12"/>
      <color rgb="FF050632"/>
      <name val="Calibri"/>
      <charset val="1"/>
    </font>
    <font>
      <sz val="10.5"/>
      <color rgb="FF2D2D3A"/>
      <name val="Calibri"/>
      <charset val="1"/>
    </font>
    <font>
      <b/>
      <sz val="10.5"/>
      <color rgb="FF0070F3"/>
      <name val="Calibri"/>
      <charset val="1"/>
    </font>
    <font>
      <b/>
      <sz val="9.5"/>
      <color rgb="FFFFFFFF"/>
      <name val="Calibri"/>
      <charset val="1"/>
    </font>
    <font>
      <b/>
      <sz val="20"/>
      <color rgb="FF0070F3"/>
      <name val="Calibri"/>
      <charset val="1"/>
    </font>
    <font>
      <b/>
      <sz val="10"/>
      <color rgb="FFFFFFFF"/>
      <name val="Calibri"/>
      <charset val="1"/>
    </font>
    <font>
      <b/>
      <sz val="10"/>
      <color rgb="FF00C864"/>
      <name val="Calibri"/>
      <charset val="1"/>
    </font>
    <font>
      <sz val="10"/>
      <color rgb="FF000000"/>
      <name val="Calibri"/>
      <charset val="1"/>
    </font>
    <font>
      <b/>
      <sz val="10"/>
      <color rgb="FFF5A623"/>
      <name val="Calibri"/>
      <charset val="1"/>
    </font>
    <font>
      <b/>
      <sz val="10"/>
      <color rgb="FFD92D43"/>
      <name val="Calibri"/>
      <charset val="1"/>
    </font>
    <font>
      <b/>
      <sz val="10"/>
      <color rgb="FF000000"/>
      <name val="Calibri"/>
      <charset val="1"/>
    </font>
    <font>
      <i/>
      <sz val="9"/>
      <color rgb="FF4A4A5A"/>
      <name val="Calibri"/>
      <charset val="1"/>
    </font>
    <font>
      <sz val="10"/>
      <name val="Calibri"/>
      <charset val="1"/>
    </font>
    <font>
      <sz val="10"/>
      <color rgb="FF0000FF"/>
      <name val="Calibri"/>
      <charset val="1"/>
    </font>
    <font>
      <b/>
      <sz val="10"/>
      <name val="Calibri"/>
      <charset val="1"/>
    </font>
    <font>
      <sz val="10"/>
      <color rgb="FF050632"/>
      <name val="Calibri"/>
      <charset val="1"/>
    </font>
    <font>
      <b/>
      <sz val="12"/>
      <color rgb="FFFFFFFF"/>
      <name val="Calibri"/>
      <charset val="1"/>
    </font>
    <font>
      <b/>
      <sz val="10.5"/>
      <color rgb="FFD92D43"/>
      <name val="Calibri"/>
      <charset val="1"/>
    </font>
    <font>
      <b/>
      <sz val="11"/>
      <color rgb="FFD92D43"/>
      <name val="Calibri"/>
      <charset val="1"/>
    </font>
    <font>
      <b/>
      <sz val="11"/>
      <color rgb="FF050632"/>
      <name val="Calibri"/>
      <charset val="1"/>
    </font>
    <font>
      <b/>
      <sz val="13"/>
      <color rgb="FF050632"/>
      <name val="Calibri"/>
      <charset val="1"/>
    </font>
    <font>
      <b/>
      <sz val="10"/>
      <color rgb="FF0070F3"/>
      <name val="Calibri"/>
      <charset val="1"/>
    </font>
    <font>
      <sz val="9"/>
      <color rgb="FF2D2D3A"/>
      <name val="Calibri"/>
      <charset val="1"/>
    </font>
  </fonts>
  <fills count="9">
    <fill>
      <patternFill patternType="none"/>
    </fill>
    <fill>
      <patternFill patternType="gray125"/>
    </fill>
    <fill>
      <patternFill patternType="solid">
        <fgColor rgb="FF050632"/>
        <bgColor rgb="FF000000"/>
      </patternFill>
    </fill>
    <fill>
      <patternFill patternType="solid">
        <fgColor rgb="FF0070F3"/>
        <bgColor rgb="FF3366FF"/>
      </patternFill>
    </fill>
    <fill>
      <patternFill patternType="solid">
        <fgColor rgb="FFF4F4F8"/>
        <bgColor rgb="FFF9F9F9"/>
      </patternFill>
    </fill>
    <fill>
      <patternFill patternType="solid">
        <fgColor rgb="FFE3F8EC"/>
        <bgColor rgb="FFF4F4F8"/>
      </patternFill>
    </fill>
    <fill>
      <patternFill patternType="solid">
        <fgColor rgb="FFFDF2DE"/>
        <bgColor rgb="FFF4F4F8"/>
      </patternFill>
    </fill>
    <fill>
      <patternFill patternType="solid">
        <fgColor rgb="FFFCE4E9"/>
        <bgColor rgb="FFFDF2DE"/>
      </patternFill>
    </fill>
    <fill>
      <patternFill patternType="solid">
        <fgColor rgb="FFD92D43"/>
        <bgColor rgb="FF993366"/>
      </patternFill>
    </fill>
  </fills>
  <borders count="2">
    <border>
      <left/>
      <right/>
      <top/>
      <bottom/>
      <diagonal/>
    </border>
    <border>
      <left style="thin">
        <color rgb="FFD9D9E3"/>
      </left>
      <right style="thin">
        <color rgb="FFD9D9E3"/>
      </right>
      <top style="thin">
        <color rgb="FFD9D9E3"/>
      </top>
      <bottom style="thin">
        <color rgb="FFD9D9E3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3" borderId="0" xfId="0" applyFill="1"/>
    <xf numFmtId="0" fontId="3" fillId="0" borderId="0" xfId="0" applyFont="1"/>
    <xf numFmtId="0" fontId="4" fillId="0" borderId="0" xfId="0" applyFont="1" applyAlignment="1">
      <alignment vertical="top" wrapText="1"/>
    </xf>
    <xf numFmtId="0" fontId="5" fillId="0" borderId="0" xfId="0" applyFont="1"/>
    <xf numFmtId="0" fontId="6" fillId="2" borderId="1" xfId="0" applyFont="1" applyFill="1" applyBorder="1" applyAlignment="1">
      <alignment horizontal="center" vertical="center" wrapText="1"/>
    </xf>
    <xf numFmtId="1" fontId="7" fillId="4" borderId="1" xfId="0" applyNumberFormat="1" applyFont="1" applyFill="1" applyBorder="1" applyAlignment="1">
      <alignment horizontal="center" vertical="center"/>
    </xf>
    <xf numFmtId="164" fontId="7" fillId="4" borderId="1" xfId="0" applyNumberFormat="1" applyFont="1" applyFill="1" applyBorder="1" applyAlignment="1">
      <alignment horizontal="center" vertical="center"/>
    </xf>
    <xf numFmtId="165" fontId="7" fillId="4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5" borderId="1" xfId="0" applyFont="1" applyFill="1" applyBorder="1"/>
    <xf numFmtId="0" fontId="10" fillId="5" borderId="1" xfId="0" applyFont="1" applyFill="1" applyBorder="1" applyAlignment="1">
      <alignment horizontal="center" vertical="center"/>
    </xf>
    <xf numFmtId="165" fontId="10" fillId="5" borderId="1" xfId="0" applyNumberFormat="1" applyFont="1" applyFill="1" applyBorder="1" applyAlignment="1">
      <alignment horizontal="center" vertical="center"/>
    </xf>
    <xf numFmtId="0" fontId="11" fillId="6" borderId="1" xfId="0" applyFont="1" applyFill="1" applyBorder="1"/>
    <xf numFmtId="0" fontId="10" fillId="6" borderId="1" xfId="0" applyFont="1" applyFill="1" applyBorder="1" applyAlignment="1">
      <alignment horizontal="center" vertical="center"/>
    </xf>
    <xf numFmtId="165" fontId="10" fillId="6" borderId="1" xfId="0" applyNumberFormat="1" applyFont="1" applyFill="1" applyBorder="1" applyAlignment="1">
      <alignment horizontal="center" vertical="center"/>
    </xf>
    <xf numFmtId="0" fontId="12" fillId="7" borderId="1" xfId="0" applyFont="1" applyFill="1" applyBorder="1"/>
    <xf numFmtId="0" fontId="10" fillId="7" borderId="1" xfId="0" applyFont="1" applyFill="1" applyBorder="1" applyAlignment="1">
      <alignment horizontal="center" vertical="center"/>
    </xf>
    <xf numFmtId="165" fontId="10" fillId="7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164" fontId="10" fillId="0" borderId="1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166" fontId="15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165" fontId="13" fillId="0" borderId="1" xfId="0" applyNumberFormat="1" applyFont="1" applyBorder="1" applyAlignment="1">
      <alignment horizontal="center" vertical="center"/>
    </xf>
    <xf numFmtId="0" fontId="8" fillId="2" borderId="1" xfId="0" applyFont="1" applyFill="1" applyBorder="1"/>
    <xf numFmtId="1" fontId="8" fillId="2" borderId="1" xfId="0" applyNumberFormat="1" applyFont="1" applyFill="1" applyBorder="1" applyAlignment="1">
      <alignment horizontal="center"/>
    </xf>
    <xf numFmtId="164" fontId="8" fillId="2" borderId="1" xfId="0" applyNumberFormat="1" applyFont="1" applyFill="1" applyBorder="1" applyAlignment="1">
      <alignment horizontal="center"/>
    </xf>
    <xf numFmtId="165" fontId="8" fillId="2" borderId="1" xfId="0" applyNumberFormat="1" applyFont="1" applyFill="1" applyBorder="1" applyAlignment="1">
      <alignment horizontal="center"/>
    </xf>
    <xf numFmtId="1" fontId="10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167" fontId="16" fillId="0" borderId="1" xfId="0" applyNumberFormat="1" applyFont="1" applyBorder="1" applyAlignment="1">
      <alignment horizontal="center" vertical="center"/>
    </xf>
    <xf numFmtId="1" fontId="16" fillId="0" borderId="1" xfId="0" applyNumberFormat="1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/>
    </xf>
    <xf numFmtId="0" fontId="20" fillId="7" borderId="1" xfId="0" applyFont="1" applyFill="1" applyBorder="1" applyAlignment="1">
      <alignment horizontal="left" vertical="center"/>
    </xf>
    <xf numFmtId="164" fontId="21" fillId="7" borderId="1" xfId="0" applyNumberFormat="1" applyFont="1" applyFill="1" applyBorder="1" applyAlignment="1">
      <alignment horizontal="center" vertical="center"/>
    </xf>
    <xf numFmtId="0" fontId="19" fillId="8" borderId="1" xfId="0" applyFont="1" applyFill="1" applyBorder="1"/>
    <xf numFmtId="167" fontId="1" fillId="8" borderId="1" xfId="0" applyNumberFormat="1" applyFont="1" applyFill="1" applyBorder="1" applyAlignment="1">
      <alignment horizontal="center"/>
    </xf>
    <xf numFmtId="0" fontId="22" fillId="4" borderId="1" xfId="0" applyFont="1" applyFill="1" applyBorder="1"/>
    <xf numFmtId="167" fontId="23" fillId="4" borderId="1" xfId="0" applyNumberFormat="1" applyFont="1" applyFill="1" applyBorder="1" applyAlignment="1">
      <alignment horizontal="center"/>
    </xf>
    <xf numFmtId="0" fontId="22" fillId="0" borderId="0" xfId="0" applyFont="1"/>
    <xf numFmtId="0" fontId="25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indent="1"/>
    </xf>
    <xf numFmtId="0" fontId="2" fillId="2" borderId="0" xfId="0" applyFont="1" applyFill="1" applyBorder="1" applyAlignment="1">
      <alignment horizontal="left" vertical="center" indent="1"/>
    </xf>
    <xf numFmtId="0" fontId="14" fillId="0" borderId="0" xfId="0" applyFont="1" applyBorder="1" applyAlignment="1">
      <alignment horizontal="left" vertical="top" wrapText="1"/>
    </xf>
    <xf numFmtId="0" fontId="24" fillId="0" borderId="0" xfId="0" applyFont="1" applyBorder="1"/>
    <xf numFmtId="0" fontId="3" fillId="0" borderId="0" xfId="0" applyFont="1" applyBorder="1"/>
    <xf numFmtId="0" fontId="19" fillId="2" borderId="0" xfId="0" applyFont="1" applyFill="1" applyBorder="1"/>
  </cellXfs>
  <cellStyles count="1">
    <cellStyle name="Normal" xfId="0" builtinId="0"/>
  </cellStyles>
  <dxfs count="6">
    <dxf>
      <fill>
        <patternFill>
          <bgColor rgb="FFFCE4E9"/>
        </patternFill>
      </fill>
    </dxf>
    <dxf>
      <fill>
        <patternFill>
          <bgColor rgb="FFFDF2DE"/>
        </patternFill>
      </fill>
    </dxf>
    <dxf>
      <fill>
        <patternFill>
          <bgColor rgb="FFE3F8EC"/>
        </patternFill>
      </fill>
    </dxf>
    <dxf>
      <font>
        <b/>
        <color rgb="FFD92D43"/>
      </font>
      <fill>
        <patternFill>
          <bgColor rgb="FFFCE4E9"/>
        </patternFill>
      </fill>
    </dxf>
    <dxf>
      <font>
        <b/>
        <color rgb="FFF5A623"/>
      </font>
      <fill>
        <patternFill>
          <bgColor rgb="FFFDF2DE"/>
        </patternFill>
      </fill>
    </dxf>
    <dxf>
      <font>
        <b/>
        <color rgb="FF00C864"/>
      </font>
      <fill>
        <patternFill>
          <bgColor rgb="FFE3F8E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50632"/>
      <rgbColor rgb="FF808000"/>
      <rgbColor rgb="FF800080"/>
      <rgbColor rgb="FF008080"/>
      <rgbColor rgb="FFD9D9D9"/>
      <rgbColor rgb="FF878787"/>
      <rgbColor rgb="FF9999FF"/>
      <rgbColor rgb="FFD92D43"/>
      <rgbColor rgb="FFFDF2DE"/>
      <rgbColor rgb="FFE3F8EC"/>
      <rgbColor rgb="FF660066"/>
      <rgbColor rgb="FFFF8080"/>
      <rgbColor rgb="FF0070F3"/>
      <rgbColor rgb="FFD9D9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4F4F8"/>
      <rgbColor rgb="FFF9F9F9"/>
      <rgbColor rgb="FFFFFF99"/>
      <rgbColor rgb="FF99CCFF"/>
      <rgbColor rgb="FFFF99CC"/>
      <rgbColor rgb="FFCC99FF"/>
      <rgbColor rgb="FFFCE4E9"/>
      <rgbColor rgb="FF3366FF"/>
      <rgbColor rgb="FF00C864"/>
      <rgbColor rgb="FF99CC00"/>
      <rgbColor rgb="FFFFCC00"/>
      <rgbColor rgb="FFF5A623"/>
      <rgbColor rgb="FFFF6600"/>
      <rgbColor rgb="FF4F81BD"/>
      <rgbColor rgb="FF969696"/>
      <rgbColor rgb="FF003366"/>
      <rgbColor rgb="FF339966"/>
      <rgbColor rgb="FF003300"/>
      <rgbColor rgb="FF333300"/>
      <rgbColor rgb="FF993300"/>
      <rgbColor rgb="FF993366"/>
      <rgbColor rgb="FF4A4A5A"/>
      <rgbColor rgb="FF2D2D3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IN"/>
  <c:roundedCorners val="0"/>
  <c:style val="2"/>
  <c:chart>
    <c:title>
      <c:tx>
        <c:rich>
          <a:bodyPr rot="0"/>
          <a:lstStyle/>
          <a:p>
            <a:pPr>
              <a:defRPr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en-IN" sz="1800" b="1" strike="noStrike" spc="-1">
                <a:solidFill>
                  <a:srgbClr val="000000"/>
                </a:solidFill>
                <a:latin typeface="Calibri"/>
              </a:rPr>
              <a:t>Avg Response Time by Source (minutes)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'Source Breakdown'!$D$5</c:f>
              <c:strCache>
                <c:ptCount val="1"/>
                <c:pt idx="0">
                  <c:v>Avg Response (min)</c:v>
                </c:pt>
              </c:strCache>
            </c:strRef>
          </c:tx>
          <c:spPr>
            <a:solidFill>
              <a:srgbClr val="4F81BD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Breakdown'!$B$6:$B$13</c:f>
              <c:strCache>
                <c:ptCount val="8"/>
                <c:pt idx="0">
                  <c:v>Zillow</c:v>
                </c:pt>
                <c:pt idx="1">
                  <c:v>Realtor.com</c:v>
                </c:pt>
                <c:pt idx="2">
                  <c:v>PPC - Google</c:v>
                </c:pt>
                <c:pt idx="3">
                  <c:v>Referral</c:v>
                </c:pt>
                <c:pt idx="4">
                  <c:v>Website Form</c:v>
                </c:pt>
                <c:pt idx="5">
                  <c:v>Open House</c:v>
                </c:pt>
                <c:pt idx="6">
                  <c:v>Facebook Ads</c:v>
                </c:pt>
                <c:pt idx="7">
                  <c:v>Past Client DB</c:v>
                </c:pt>
              </c:strCache>
            </c:strRef>
          </c:cat>
          <c:val>
            <c:numRef>
              <c:f>'Source Breakdown'!$D$6:$D$13</c:f>
              <c:numCache>
                <c:formatCode>0.0</c:formatCode>
                <c:ptCount val="8"/>
                <c:pt idx="0">
                  <c:v>56.5</c:v>
                </c:pt>
                <c:pt idx="1">
                  <c:v>127</c:v>
                </c:pt>
                <c:pt idx="2">
                  <c:v>121</c:v>
                </c:pt>
                <c:pt idx="3">
                  <c:v>9.1999999999999993</c:v>
                </c:pt>
                <c:pt idx="4">
                  <c:v>45.5</c:v>
                </c:pt>
                <c:pt idx="5">
                  <c:v>50.4</c:v>
                </c:pt>
                <c:pt idx="6">
                  <c:v>226</c:v>
                </c:pt>
                <c:pt idx="7">
                  <c:v>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034816"/>
        <c:axId val="103043008"/>
      </c:barChart>
      <c:catAx>
        <c:axId val="10403481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IN" sz="1000" b="1" strike="noStrike" spc="-1">
                    <a:solidFill>
                      <a:srgbClr val="000000"/>
                    </a:solidFill>
                    <a:latin typeface="Calibri"/>
                  </a:rPr>
                  <a:t>Source</a:t>
                </a:r>
              </a:p>
            </c:rich>
          </c:tx>
          <c:layout/>
          <c:overlay val="0"/>
          <c:spPr>
            <a:noFill/>
            <a:ln w="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03043008"/>
        <c:crosses val="autoZero"/>
        <c:auto val="1"/>
        <c:lblAlgn val="ctr"/>
        <c:lblOffset val="100"/>
        <c:noMultiLvlLbl val="0"/>
      </c:catAx>
      <c:valAx>
        <c:axId val="103043008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IN" sz="1000" b="1" strike="noStrike" spc="-1">
                    <a:solidFill>
                      <a:srgbClr val="000000"/>
                    </a:solidFill>
                    <a:latin typeface="Calibri"/>
                  </a:rPr>
                  <a:t>Minutes</a:t>
                </a:r>
              </a:p>
            </c:rich>
          </c:tx>
          <c:layout/>
          <c:overlay val="0"/>
          <c:spPr>
            <a:noFill/>
            <a:ln w="0">
              <a:noFill/>
            </a:ln>
          </c:spPr>
        </c:title>
        <c:numFmt formatCode="0.0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04034816"/>
        <c:crosses val="autoZero"/>
        <c:crossBetween val="between"/>
      </c:valAx>
      <c:spPr>
        <a:noFill/>
        <a:ln w="0">
          <a:noFill/>
        </a:ln>
      </c:spPr>
    </c:plotArea>
    <c:legend>
      <c:legendPos val="r"/>
      <c:layout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16</xdr:row>
      <xdr:rowOff>0</xdr:rowOff>
    </xdr:from>
    <xdr:to>
      <xdr:col>6</xdr:col>
      <xdr:colOff>276840</xdr:colOff>
      <xdr:row>31</xdr:row>
      <xdr:rowOff>22320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8"/>
  <sheetViews>
    <sheetView showGridLines="0" tabSelected="1" zoomScaleNormal="100" workbookViewId="0">
      <selection activeCell="G6" sqref="G6"/>
    </sheetView>
  </sheetViews>
  <sheetFormatPr defaultColWidth="8.7109375" defaultRowHeight="15" x14ac:dyDescent="0.25"/>
  <cols>
    <col min="1" max="1" width="3" customWidth="1"/>
    <col min="2" max="2" width="95" customWidth="1"/>
    <col min="3" max="3" width="3" customWidth="1"/>
  </cols>
  <sheetData>
    <row r="1" spans="1:3" ht="33.75" customHeight="1" x14ac:dyDescent="0.25">
      <c r="A1" s="51" t="s">
        <v>0</v>
      </c>
      <c r="B1" s="51"/>
      <c r="C1" s="51"/>
    </row>
    <row r="2" spans="1:3" ht="19.5" customHeight="1" x14ac:dyDescent="0.25">
      <c r="A2" s="52" t="s">
        <v>1</v>
      </c>
      <c r="B2" s="52"/>
      <c r="C2" s="52"/>
    </row>
    <row r="3" spans="1:3" ht="3.75" customHeight="1" x14ac:dyDescent="0.25">
      <c r="A3" s="1"/>
      <c r="B3" s="1"/>
      <c r="C3" s="1"/>
    </row>
    <row r="5" spans="1:3" ht="15.75" x14ac:dyDescent="0.25">
      <c r="B5" s="2" t="s">
        <v>2</v>
      </c>
    </row>
    <row r="6" spans="1:3" ht="18" customHeight="1" x14ac:dyDescent="0.25">
      <c r="B6" s="3" t="s">
        <v>3</v>
      </c>
    </row>
    <row r="7" spans="1:3" ht="18" customHeight="1" x14ac:dyDescent="0.25">
      <c r="B7" s="3" t="s">
        <v>4</v>
      </c>
    </row>
    <row r="8" spans="1:3" ht="18" customHeight="1" x14ac:dyDescent="0.25">
      <c r="B8" s="3" t="s">
        <v>5</v>
      </c>
    </row>
    <row r="9" spans="1:3" ht="18" customHeight="1" x14ac:dyDescent="0.25">
      <c r="B9" s="3" t="s">
        <v>6</v>
      </c>
    </row>
    <row r="11" spans="1:3" ht="15.75" x14ac:dyDescent="0.25">
      <c r="B11" s="2" t="s">
        <v>7</v>
      </c>
    </row>
    <row r="12" spans="1:3" ht="18" customHeight="1" x14ac:dyDescent="0.25">
      <c r="B12" s="3" t="s">
        <v>8</v>
      </c>
    </row>
    <row r="13" spans="1:3" ht="18" customHeight="1" x14ac:dyDescent="0.25">
      <c r="B13" s="3" t="s">
        <v>9</v>
      </c>
    </row>
    <row r="14" spans="1:3" ht="18" customHeight="1" x14ac:dyDescent="0.25">
      <c r="B14" s="3" t="s">
        <v>10</v>
      </c>
    </row>
    <row r="15" spans="1:3" ht="18" customHeight="1" x14ac:dyDescent="0.25">
      <c r="B15" s="3" t="s">
        <v>11</v>
      </c>
    </row>
    <row r="16" spans="1:3" ht="18" customHeight="1" x14ac:dyDescent="0.25">
      <c r="B16" s="3" t="s">
        <v>12</v>
      </c>
    </row>
    <row r="18" spans="2:2" ht="15.75" x14ac:dyDescent="0.25">
      <c r="B18" s="2" t="s">
        <v>13</v>
      </c>
    </row>
    <row r="19" spans="2:2" ht="18" customHeight="1" x14ac:dyDescent="0.25">
      <c r="B19" s="3" t="s">
        <v>14</v>
      </c>
    </row>
    <row r="20" spans="2:2" ht="18" customHeight="1" x14ac:dyDescent="0.25">
      <c r="B20" s="3" t="s">
        <v>15</v>
      </c>
    </row>
    <row r="21" spans="2:2" ht="18" customHeight="1" x14ac:dyDescent="0.25">
      <c r="B21" s="3" t="s">
        <v>16</v>
      </c>
    </row>
    <row r="22" spans="2:2" ht="18" customHeight="1" x14ac:dyDescent="0.25">
      <c r="B22" s="3" t="s">
        <v>17</v>
      </c>
    </row>
    <row r="23" spans="2:2" ht="18" customHeight="1" x14ac:dyDescent="0.25">
      <c r="B23" s="3" t="s">
        <v>18</v>
      </c>
    </row>
    <row r="24" spans="2:2" ht="18" customHeight="1" x14ac:dyDescent="0.25">
      <c r="B24" s="3" t="s">
        <v>19</v>
      </c>
    </row>
    <row r="26" spans="2:2" ht="15.75" x14ac:dyDescent="0.25">
      <c r="B26" s="2" t="s">
        <v>20</v>
      </c>
    </row>
    <row r="27" spans="2:2" ht="18" customHeight="1" x14ac:dyDescent="0.25">
      <c r="B27" s="3" t="s">
        <v>21</v>
      </c>
    </row>
    <row r="28" spans="2:2" ht="18" customHeight="1" x14ac:dyDescent="0.25">
      <c r="B28" s="3" t="s">
        <v>22</v>
      </c>
    </row>
    <row r="29" spans="2:2" ht="18" customHeight="1" x14ac:dyDescent="0.25">
      <c r="B29" s="3" t="s">
        <v>23</v>
      </c>
    </row>
    <row r="31" spans="2:2" ht="15.75" x14ac:dyDescent="0.25">
      <c r="B31" s="2" t="s">
        <v>24</v>
      </c>
    </row>
    <row r="32" spans="2:2" ht="18" customHeight="1" x14ac:dyDescent="0.25">
      <c r="B32" s="3" t="s">
        <v>25</v>
      </c>
    </row>
    <row r="33" spans="2:2" ht="18" customHeight="1" x14ac:dyDescent="0.25">
      <c r="B33" s="3" t="s">
        <v>26</v>
      </c>
    </row>
    <row r="34" spans="2:2" ht="18" customHeight="1" x14ac:dyDescent="0.25">
      <c r="B34" s="3" t="s">
        <v>27</v>
      </c>
    </row>
    <row r="35" spans="2:2" ht="18" customHeight="1" x14ac:dyDescent="0.25">
      <c r="B35" s="3" t="s">
        <v>28</v>
      </c>
    </row>
    <row r="36" spans="2:2" ht="18" customHeight="1" x14ac:dyDescent="0.25">
      <c r="B36" s="3" t="s">
        <v>29</v>
      </c>
    </row>
    <row r="38" spans="2:2" x14ac:dyDescent="0.25">
      <c r="B38" s="4" t="s">
        <v>30</v>
      </c>
    </row>
  </sheetData>
  <mergeCells count="2">
    <mergeCell ref="A1:C1"/>
    <mergeCell ref="A2:C2"/>
  </mergeCells>
  <pageMargins left="0.3" right="0.3" top="0.4" bottom="0.4" header="0.511811023622047" footer="0.511811023622047"/>
  <pageSetup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3"/>
  <sheetViews>
    <sheetView showGridLines="0" zoomScaleNormal="100" workbookViewId="0">
      <selection sqref="A1:H1"/>
    </sheetView>
  </sheetViews>
  <sheetFormatPr defaultColWidth="8.7109375" defaultRowHeight="15" x14ac:dyDescent="0.25"/>
  <cols>
    <col min="1" max="1" width="12.28515625" customWidth="1"/>
    <col min="2" max="2" width="40" customWidth="1"/>
    <col min="3" max="3" width="36.28515625" customWidth="1"/>
    <col min="4" max="4" width="34.7109375" customWidth="1"/>
    <col min="5" max="5" width="37" customWidth="1"/>
    <col min="6" max="7" width="36.28515625" customWidth="1"/>
    <col min="8" max="8" width="40.7109375" customWidth="1"/>
  </cols>
  <sheetData>
    <row r="1" spans="1:8" ht="33.75" customHeight="1" x14ac:dyDescent="0.25">
      <c r="A1" s="51" t="s">
        <v>31</v>
      </c>
      <c r="B1" s="51"/>
      <c r="C1" s="51"/>
      <c r="D1" s="51"/>
      <c r="E1" s="51"/>
      <c r="F1" s="51"/>
      <c r="G1" s="51"/>
      <c r="H1" s="51"/>
    </row>
    <row r="2" spans="1:8" ht="19.5" customHeight="1" x14ac:dyDescent="0.25">
      <c r="A2" s="52" t="s">
        <v>32</v>
      </c>
      <c r="B2" s="52"/>
      <c r="C2" s="52"/>
      <c r="D2" s="52"/>
      <c r="E2" s="52"/>
      <c r="F2" s="52"/>
      <c r="G2" s="52"/>
      <c r="H2" s="52"/>
    </row>
    <row r="3" spans="1:8" ht="3.75" customHeight="1" x14ac:dyDescent="0.25">
      <c r="A3" s="1"/>
      <c r="B3" s="1"/>
      <c r="C3" s="1"/>
      <c r="D3" s="1"/>
      <c r="E3" s="1"/>
      <c r="F3" s="1"/>
      <c r="G3" s="1"/>
      <c r="H3" s="1"/>
    </row>
    <row r="5" spans="1:8" ht="30" customHeight="1" x14ac:dyDescent="0.25">
      <c r="B5" s="5" t="s">
        <v>33</v>
      </c>
      <c r="C5" s="5" t="s">
        <v>34</v>
      </c>
      <c r="D5" s="5" t="s">
        <v>35</v>
      </c>
      <c r="E5" s="5" t="s">
        <v>36</v>
      </c>
    </row>
    <row r="6" spans="1:8" ht="36" customHeight="1" x14ac:dyDescent="0.25">
      <c r="B6" s="6">
        <f>COUNT('Lead Log'!A5:A200)</f>
        <v>30</v>
      </c>
      <c r="C6" s="7">
        <f>IFERROR(ROUND(AVERAGE('Lead Log'!G5:G200),1),0)</f>
        <v>77.5</v>
      </c>
      <c r="D6" s="8">
        <f>IFERROR(COUNTIFS('Lead Log'!G5:G200,"&lt;=5")/COUNT('Lead Log'!G5:G200),0)</f>
        <v>0.1</v>
      </c>
      <c r="E6" s="8">
        <f>IFERROR(COUNTIF('Lead Log'!I5:I200,"Yes")/COUNTIFS('Lead Log'!I5:I200,"&lt;&gt;"),0)</f>
        <v>0.2</v>
      </c>
    </row>
    <row r="8" spans="1:8" ht="15.75" x14ac:dyDescent="0.25">
      <c r="B8" s="2" t="s">
        <v>37</v>
      </c>
    </row>
    <row r="9" spans="1:8" x14ac:dyDescent="0.25">
      <c r="B9" s="9" t="s">
        <v>38</v>
      </c>
      <c r="C9" s="9" t="s">
        <v>39</v>
      </c>
      <c r="D9" s="9" t="s">
        <v>40</v>
      </c>
    </row>
    <row r="10" spans="1:8" x14ac:dyDescent="0.25">
      <c r="B10" s="10" t="s">
        <v>41</v>
      </c>
      <c r="C10" s="11">
        <f>COUNTIF('Lead Log'!H5:H200,"On Target")</f>
        <v>3</v>
      </c>
      <c r="D10" s="12">
        <f>IFERROR(C10/SUM($C$10:$C$12),0)</f>
        <v>0.1</v>
      </c>
    </row>
    <row r="11" spans="1:8" x14ac:dyDescent="0.25">
      <c r="B11" s="13" t="s">
        <v>42</v>
      </c>
      <c r="C11" s="14">
        <f>COUNTIF('Lead Log'!H5:H200,"Delayed")</f>
        <v>9</v>
      </c>
      <c r="D11" s="15">
        <f>IFERROR(C11/SUM($C$10:$C$12),0)</f>
        <v>0.3</v>
      </c>
    </row>
    <row r="12" spans="1:8" x14ac:dyDescent="0.25">
      <c r="B12" s="16" t="s">
        <v>43</v>
      </c>
      <c r="C12" s="17">
        <f>COUNTIF('Lead Log'!H5:H200,"Cold Risk")</f>
        <v>18</v>
      </c>
      <c r="D12" s="18">
        <f>IFERROR(C12/SUM($C$10:$C$12),0)</f>
        <v>0.6</v>
      </c>
    </row>
    <row r="14" spans="1:8" ht="15.75" x14ac:dyDescent="0.25">
      <c r="B14" s="2" t="s">
        <v>44</v>
      </c>
    </row>
    <row r="15" spans="1:8" x14ac:dyDescent="0.25">
      <c r="B15" s="9" t="s">
        <v>45</v>
      </c>
      <c r="C15" s="9" t="s">
        <v>46</v>
      </c>
      <c r="D15" s="9" t="s">
        <v>47</v>
      </c>
      <c r="E15" s="9" t="s">
        <v>48</v>
      </c>
      <c r="F15" s="9" t="s">
        <v>49</v>
      </c>
    </row>
    <row r="16" spans="1:8" x14ac:dyDescent="0.25">
      <c r="B16" s="19">
        <v>1</v>
      </c>
      <c r="C16" s="20" t="str">
        <f>IFERROR(INDEX('Agent Scorecard'!$B$6:$B$10,MATCH(SMALL('Agent Scorecard'!$C$6:$C$10,1),'Agent Scorecard'!$C$6:$C$10,0)),"")</f>
        <v>Lena Volkov</v>
      </c>
      <c r="D16" s="21">
        <f>IFERROR(SMALL('Agent Scorecard'!$C$6:$C$10,1),"")</f>
        <v>45.8</v>
      </c>
      <c r="E16" s="19">
        <f>IFERROR(INDEX('Agent Scorecard'!$F$6:$F$10,MATCH($C16,'Agent Scorecard'!$B$6:$B$10,0)),"")</f>
        <v>9</v>
      </c>
      <c r="F16" s="22">
        <f>IFERROR(INDEX('Agent Scorecard'!$G$6:$G$10,MATCH($C16,'Agent Scorecard'!$B$6:$B$10,0)),"")</f>
        <v>0.22222222222222221</v>
      </c>
    </row>
    <row r="17" spans="2:7" x14ac:dyDescent="0.25">
      <c r="B17" s="19">
        <v>2</v>
      </c>
      <c r="C17" s="20" t="str">
        <f>IFERROR(INDEX('Agent Scorecard'!$B$6:$B$10,MATCH(SMALL('Agent Scorecard'!$C$6:$C$10,2),'Agent Scorecard'!$C$6:$C$10,0)),"")</f>
        <v>Maria Chen</v>
      </c>
      <c r="D17" s="21">
        <f>IFERROR(SMALL('Agent Scorecard'!$C$6:$C$10,2),"")</f>
        <v>47.5</v>
      </c>
      <c r="E17" s="19">
        <f>IFERROR(INDEX('Agent Scorecard'!$F$6:$F$10,MATCH($C17,'Agent Scorecard'!$B$6:$B$10,0)),"")</f>
        <v>4</v>
      </c>
      <c r="F17" s="22">
        <f>IFERROR(INDEX('Agent Scorecard'!$G$6:$G$10,MATCH($C17,'Agent Scorecard'!$B$6:$B$10,0)),"")</f>
        <v>0.25</v>
      </c>
    </row>
    <row r="18" spans="2:7" x14ac:dyDescent="0.25">
      <c r="B18" s="19">
        <v>3</v>
      </c>
      <c r="C18" s="20" t="str">
        <f>IFERROR(INDEX('Agent Scorecard'!$B$6:$B$10,MATCH(SMALL('Agent Scorecard'!$C$6:$C$10,3),'Agent Scorecard'!$C$6:$C$10,0)),"")</f>
        <v>James Okafor</v>
      </c>
      <c r="D18" s="21">
        <f>IFERROR(SMALL('Agent Scorecard'!$C$6:$C$10,3),"")</f>
        <v>85.1</v>
      </c>
      <c r="E18" s="19">
        <f>IFERROR(INDEX('Agent Scorecard'!$F$6:$F$10,MATCH($C18,'Agent Scorecard'!$B$6:$B$10,0)),"")</f>
        <v>7</v>
      </c>
      <c r="F18" s="22">
        <f>IFERROR(INDEX('Agent Scorecard'!$G$6:$G$10,MATCH($C18,'Agent Scorecard'!$B$6:$B$10,0)),"")</f>
        <v>0.2857142857142857</v>
      </c>
    </row>
    <row r="19" spans="2:7" x14ac:dyDescent="0.25">
      <c r="B19" s="19">
        <v>4</v>
      </c>
      <c r="C19" s="20" t="str">
        <f>IFERROR(INDEX('Agent Scorecard'!$B$6:$B$10,MATCH(SMALL('Agent Scorecard'!$C$6:$C$10,4),'Agent Scorecard'!$C$6:$C$10,0)),"")</f>
        <v>Priya Nair</v>
      </c>
      <c r="D19" s="21">
        <f>IFERROR(SMALL('Agent Scorecard'!$C$6:$C$10,4),"")</f>
        <v>91.5</v>
      </c>
      <c r="E19" s="19">
        <f>IFERROR(INDEX('Agent Scorecard'!$F$6:$F$10,MATCH($C19,'Agent Scorecard'!$B$6:$B$10,0)),"")</f>
        <v>6</v>
      </c>
      <c r="F19" s="22">
        <f>IFERROR(INDEX('Agent Scorecard'!$G$6:$G$10,MATCH($C19,'Agent Scorecard'!$B$6:$B$10,0)),"")</f>
        <v>0.16666666666666666</v>
      </c>
    </row>
    <row r="20" spans="2:7" x14ac:dyDescent="0.25">
      <c r="B20" s="19">
        <v>5</v>
      </c>
      <c r="C20" s="20" t="str">
        <f>IFERROR(INDEX('Agent Scorecard'!$B$6:$B$10,MATCH(SMALL('Agent Scorecard'!$C$6:$C$10,5),'Agent Scorecard'!$C$6:$C$10,0)),"")</f>
        <v>Tom Bennett</v>
      </c>
      <c r="D20" s="21">
        <f>IFERROR(SMALL('Agent Scorecard'!$C$6:$C$10,5),"")</f>
        <v>144.5</v>
      </c>
      <c r="E20" s="19">
        <f>IFERROR(INDEX('Agent Scorecard'!$F$6:$F$10,MATCH($C20,'Agent Scorecard'!$B$6:$B$10,0)),"")</f>
        <v>4</v>
      </c>
      <c r="F20" s="22">
        <f>IFERROR(INDEX('Agent Scorecard'!$G$6:$G$10,MATCH($C20,'Agent Scorecard'!$B$6:$B$10,0)),"")</f>
        <v>0</v>
      </c>
    </row>
    <row r="23" spans="2:7" ht="15" customHeight="1" x14ac:dyDescent="0.25">
      <c r="B23" s="53" t="s">
        <v>50</v>
      </c>
      <c r="C23" s="53"/>
      <c r="D23" s="53"/>
      <c r="E23" s="53"/>
      <c r="F23" s="53"/>
      <c r="G23" s="53"/>
    </row>
  </sheetData>
  <mergeCells count="3">
    <mergeCell ref="A1:H1"/>
    <mergeCell ref="A2:H2"/>
    <mergeCell ref="B23:G23"/>
  </mergeCells>
  <pageMargins left="0.3" right="0.3" top="0.4" bottom="0.4" header="0.511811023622047" footer="0.511811023622047"/>
  <pageSetup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0"/>
  <sheetViews>
    <sheetView showGridLines="0" zoomScaleNormal="100" workbookViewId="0">
      <pane ySplit="4" topLeftCell="A5" activePane="bottomLeft" state="frozen"/>
      <selection pane="bottomLeft" sqref="A1:I1"/>
    </sheetView>
  </sheetViews>
  <sheetFormatPr defaultColWidth="8.7109375" defaultRowHeight="15" x14ac:dyDescent="0.25"/>
  <cols>
    <col min="1" max="1" width="5" customWidth="1"/>
    <col min="2" max="2" width="20" customWidth="1"/>
    <col min="3" max="3" width="16" customWidth="1"/>
    <col min="4" max="5" width="19" customWidth="1"/>
    <col min="6" max="6" width="16" customWidth="1"/>
    <col min="7" max="7" width="14" customWidth="1"/>
    <col min="8" max="8" width="12" customWidth="1"/>
    <col min="9" max="9" width="13" customWidth="1"/>
  </cols>
  <sheetData>
    <row r="1" spans="1:9" ht="33.75" customHeight="1" x14ac:dyDescent="0.25">
      <c r="A1" s="51" t="s">
        <v>51</v>
      </c>
      <c r="B1" s="51"/>
      <c r="C1" s="51"/>
      <c r="D1" s="51"/>
      <c r="E1" s="51"/>
      <c r="F1" s="51"/>
      <c r="G1" s="51"/>
      <c r="H1" s="51"/>
      <c r="I1" s="51"/>
    </row>
    <row r="2" spans="1:9" ht="19.5" customHeight="1" x14ac:dyDescent="0.25">
      <c r="A2" s="52" t="s">
        <v>52</v>
      </c>
      <c r="B2" s="52"/>
      <c r="C2" s="52"/>
      <c r="D2" s="52"/>
      <c r="E2" s="52"/>
      <c r="F2" s="52"/>
      <c r="G2" s="52"/>
      <c r="H2" s="52"/>
      <c r="I2" s="52"/>
    </row>
    <row r="3" spans="1:9" ht="3.7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30" customHeight="1" x14ac:dyDescent="0.25">
      <c r="A4" s="9" t="s">
        <v>53</v>
      </c>
      <c r="B4" s="9" t="s">
        <v>54</v>
      </c>
      <c r="C4" s="9" t="s">
        <v>55</v>
      </c>
      <c r="D4" s="9" t="s">
        <v>56</v>
      </c>
      <c r="E4" s="9" t="s">
        <v>57</v>
      </c>
      <c r="F4" s="9" t="s">
        <v>58</v>
      </c>
      <c r="G4" s="9" t="s">
        <v>59</v>
      </c>
      <c r="H4" s="9" t="s">
        <v>38</v>
      </c>
      <c r="I4" s="9" t="s">
        <v>60</v>
      </c>
    </row>
    <row r="5" spans="1:9" x14ac:dyDescent="0.25">
      <c r="A5" s="23">
        <v>1</v>
      </c>
      <c r="B5" s="24" t="s">
        <v>61</v>
      </c>
      <c r="C5" s="25" t="s">
        <v>62</v>
      </c>
      <c r="D5" s="26">
        <v>46143.8034722222</v>
      </c>
      <c r="E5" s="26">
        <v>46143.848611111098</v>
      </c>
      <c r="F5" s="25" t="s">
        <v>63</v>
      </c>
      <c r="G5" s="23">
        <f t="shared" ref="G5:G36" si="0">IF(OR($D5="",$E5=""),"",ROUND((E5-D5)*1440,0))</f>
        <v>65</v>
      </c>
      <c r="H5" s="23" t="str">
        <f t="shared" ref="H5:H36" si="1">IF(G5="","",IF(G5&lt;=5,"On Target",IF(G5&lt;=30,"Delayed","Cold Risk")))</f>
        <v>Cold Risk</v>
      </c>
      <c r="I5" s="25" t="s">
        <v>64</v>
      </c>
    </row>
    <row r="6" spans="1:9" x14ac:dyDescent="0.25">
      <c r="A6" s="23">
        <v>2</v>
      </c>
      <c r="B6" s="24" t="s">
        <v>65</v>
      </c>
      <c r="C6" s="25" t="s">
        <v>62</v>
      </c>
      <c r="D6" s="26">
        <v>46143.400694444397</v>
      </c>
      <c r="E6" s="26">
        <v>46143.4777777778</v>
      </c>
      <c r="F6" s="25" t="s">
        <v>66</v>
      </c>
      <c r="G6" s="23">
        <f t="shared" si="0"/>
        <v>111</v>
      </c>
      <c r="H6" s="23" t="str">
        <f t="shared" si="1"/>
        <v>Cold Risk</v>
      </c>
      <c r="I6" s="25" t="s">
        <v>64</v>
      </c>
    </row>
    <row r="7" spans="1:9" x14ac:dyDescent="0.25">
      <c r="A7" s="23">
        <v>3</v>
      </c>
      <c r="B7" s="24" t="s">
        <v>67</v>
      </c>
      <c r="C7" s="25" t="s">
        <v>62</v>
      </c>
      <c r="D7" s="26">
        <v>46143.480555555601</v>
      </c>
      <c r="E7" s="26">
        <v>46143.589583333298</v>
      </c>
      <c r="F7" s="25" t="s">
        <v>68</v>
      </c>
      <c r="G7" s="23">
        <f t="shared" si="0"/>
        <v>157</v>
      </c>
      <c r="H7" s="23" t="str">
        <f t="shared" si="1"/>
        <v>Cold Risk</v>
      </c>
      <c r="I7" s="25" t="s">
        <v>64</v>
      </c>
    </row>
    <row r="8" spans="1:9" x14ac:dyDescent="0.25">
      <c r="A8" s="23">
        <v>4</v>
      </c>
      <c r="B8" s="24" t="s">
        <v>69</v>
      </c>
      <c r="C8" s="25" t="s">
        <v>70</v>
      </c>
      <c r="D8" s="26">
        <v>46144.593055555597</v>
      </c>
      <c r="E8" s="26">
        <v>46144.604166666701</v>
      </c>
      <c r="F8" s="25" t="s">
        <v>66</v>
      </c>
      <c r="G8" s="23">
        <f t="shared" si="0"/>
        <v>16</v>
      </c>
      <c r="H8" s="23" t="str">
        <f t="shared" si="1"/>
        <v>Delayed</v>
      </c>
      <c r="I8" s="25" t="s">
        <v>71</v>
      </c>
    </row>
    <row r="9" spans="1:9" x14ac:dyDescent="0.25">
      <c r="A9" s="23">
        <v>5</v>
      </c>
      <c r="B9" s="24" t="s">
        <v>72</v>
      </c>
      <c r="C9" s="25" t="s">
        <v>73</v>
      </c>
      <c r="D9" s="26">
        <v>46144.810416666704</v>
      </c>
      <c r="E9" s="26">
        <v>46144.840972222199</v>
      </c>
      <c r="F9" s="25" t="s">
        <v>68</v>
      </c>
      <c r="G9" s="23">
        <f t="shared" si="0"/>
        <v>44</v>
      </c>
      <c r="H9" s="23" t="str">
        <f t="shared" si="1"/>
        <v>Cold Risk</v>
      </c>
      <c r="I9" s="25" t="s">
        <v>64</v>
      </c>
    </row>
    <row r="10" spans="1:9" x14ac:dyDescent="0.25">
      <c r="A10" s="23">
        <v>6</v>
      </c>
      <c r="B10" s="24" t="s">
        <v>74</v>
      </c>
      <c r="C10" s="25" t="s">
        <v>70</v>
      </c>
      <c r="D10" s="26">
        <v>46144.378472222197</v>
      </c>
      <c r="E10" s="26">
        <v>46144.3881944444</v>
      </c>
      <c r="F10" s="25" t="s">
        <v>75</v>
      </c>
      <c r="G10" s="23">
        <f t="shared" si="0"/>
        <v>14</v>
      </c>
      <c r="H10" s="23" t="str">
        <f t="shared" si="1"/>
        <v>Delayed</v>
      </c>
      <c r="I10" s="25" t="s">
        <v>64</v>
      </c>
    </row>
    <row r="11" spans="1:9" x14ac:dyDescent="0.25">
      <c r="A11" s="23">
        <v>7</v>
      </c>
      <c r="B11" s="24" t="s">
        <v>76</v>
      </c>
      <c r="C11" s="25" t="s">
        <v>77</v>
      </c>
      <c r="D11" s="26">
        <v>46145.535416666702</v>
      </c>
      <c r="E11" s="26">
        <v>46145.545138888898</v>
      </c>
      <c r="F11" s="25" t="s">
        <v>66</v>
      </c>
      <c r="G11" s="23">
        <f t="shared" si="0"/>
        <v>14</v>
      </c>
      <c r="H11" s="23" t="str">
        <f t="shared" si="1"/>
        <v>Delayed</v>
      </c>
      <c r="I11" s="25" t="s">
        <v>71</v>
      </c>
    </row>
    <row r="12" spans="1:9" x14ac:dyDescent="0.25">
      <c r="A12" s="23">
        <v>8</v>
      </c>
      <c r="B12" s="24" t="s">
        <v>78</v>
      </c>
      <c r="C12" s="25" t="s">
        <v>62</v>
      </c>
      <c r="D12" s="26">
        <v>46145.399305555598</v>
      </c>
      <c r="E12" s="26">
        <v>46145.453472222202</v>
      </c>
      <c r="F12" s="25" t="s">
        <v>79</v>
      </c>
      <c r="G12" s="23">
        <f t="shared" si="0"/>
        <v>78</v>
      </c>
      <c r="H12" s="23" t="str">
        <f t="shared" si="1"/>
        <v>Cold Risk</v>
      </c>
      <c r="I12" s="25" t="s">
        <v>71</v>
      </c>
    </row>
    <row r="13" spans="1:9" x14ac:dyDescent="0.25">
      <c r="A13" s="23">
        <v>9</v>
      </c>
      <c r="B13" s="24" t="s">
        <v>80</v>
      </c>
      <c r="C13" s="25" t="s">
        <v>77</v>
      </c>
      <c r="D13" s="26">
        <v>46145.489583333299</v>
      </c>
      <c r="E13" s="26">
        <v>46145.503472222197</v>
      </c>
      <c r="F13" s="25" t="s">
        <v>66</v>
      </c>
      <c r="G13" s="23">
        <f t="shared" si="0"/>
        <v>20</v>
      </c>
      <c r="H13" s="23" t="str">
        <f t="shared" si="1"/>
        <v>Delayed</v>
      </c>
      <c r="I13" s="25" t="s">
        <v>64</v>
      </c>
    </row>
    <row r="14" spans="1:9" x14ac:dyDescent="0.25">
      <c r="A14" s="23">
        <v>10</v>
      </c>
      <c r="B14" s="24" t="s">
        <v>81</v>
      </c>
      <c r="C14" s="25" t="s">
        <v>70</v>
      </c>
      <c r="D14" s="26">
        <v>46146.412499999999</v>
      </c>
      <c r="E14" s="26">
        <v>46146.418749999997</v>
      </c>
      <c r="F14" s="25" t="s">
        <v>75</v>
      </c>
      <c r="G14" s="23">
        <f t="shared" si="0"/>
        <v>9</v>
      </c>
      <c r="H14" s="23" t="str">
        <f t="shared" si="1"/>
        <v>Delayed</v>
      </c>
      <c r="I14" s="25" t="s">
        <v>71</v>
      </c>
    </row>
    <row r="15" spans="1:9" x14ac:dyDescent="0.25">
      <c r="A15" s="23">
        <v>11</v>
      </c>
      <c r="B15" s="24" t="s">
        <v>82</v>
      </c>
      <c r="C15" s="25" t="s">
        <v>83</v>
      </c>
      <c r="D15" s="26">
        <v>46146.652777777803</v>
      </c>
      <c r="E15" s="26">
        <v>46146.802777777797</v>
      </c>
      <c r="F15" s="25" t="s">
        <v>75</v>
      </c>
      <c r="G15" s="23">
        <f t="shared" si="0"/>
        <v>216</v>
      </c>
      <c r="H15" s="23" t="str">
        <f t="shared" si="1"/>
        <v>Cold Risk</v>
      </c>
      <c r="I15" s="25" t="s">
        <v>71</v>
      </c>
    </row>
    <row r="16" spans="1:9" x14ac:dyDescent="0.25">
      <c r="A16" s="23">
        <v>12</v>
      </c>
      <c r="B16" s="24" t="s">
        <v>84</v>
      </c>
      <c r="C16" s="25" t="s">
        <v>77</v>
      </c>
      <c r="D16" s="26">
        <v>46146.487500000003</v>
      </c>
      <c r="E16" s="26">
        <v>46146.536805555603</v>
      </c>
      <c r="F16" s="25" t="s">
        <v>75</v>
      </c>
      <c r="G16" s="23">
        <f t="shared" si="0"/>
        <v>71</v>
      </c>
      <c r="H16" s="23" t="str">
        <f t="shared" si="1"/>
        <v>Cold Risk</v>
      </c>
      <c r="I16" s="25" t="s">
        <v>71</v>
      </c>
    </row>
    <row r="17" spans="1:9" x14ac:dyDescent="0.25">
      <c r="A17" s="23">
        <v>13</v>
      </c>
      <c r="B17" s="24" t="s">
        <v>85</v>
      </c>
      <c r="C17" s="25" t="s">
        <v>62</v>
      </c>
      <c r="D17" s="26">
        <v>46147.756944444503</v>
      </c>
      <c r="E17" s="26">
        <v>46147.853472222203</v>
      </c>
      <c r="F17" s="25" t="s">
        <v>66</v>
      </c>
      <c r="G17" s="23">
        <f t="shared" si="0"/>
        <v>139</v>
      </c>
      <c r="H17" s="23" t="str">
        <f t="shared" si="1"/>
        <v>Cold Risk</v>
      </c>
      <c r="I17" s="25" t="s">
        <v>71</v>
      </c>
    </row>
    <row r="18" spans="1:9" x14ac:dyDescent="0.25">
      <c r="A18" s="23">
        <v>14</v>
      </c>
      <c r="B18" s="24" t="s">
        <v>86</v>
      </c>
      <c r="C18" s="25" t="s">
        <v>87</v>
      </c>
      <c r="D18" s="26">
        <v>46147.595138888901</v>
      </c>
      <c r="E18" s="26">
        <v>46147.761111111096</v>
      </c>
      <c r="F18" s="25" t="s">
        <v>79</v>
      </c>
      <c r="G18" s="23">
        <f t="shared" si="0"/>
        <v>239</v>
      </c>
      <c r="H18" s="23" t="str">
        <f t="shared" si="1"/>
        <v>Cold Risk</v>
      </c>
      <c r="I18" s="25" t="s">
        <v>71</v>
      </c>
    </row>
    <row r="19" spans="1:9" x14ac:dyDescent="0.25">
      <c r="A19" s="23">
        <v>15</v>
      </c>
      <c r="B19" s="24" t="s">
        <v>88</v>
      </c>
      <c r="C19" s="25" t="s">
        <v>70</v>
      </c>
      <c r="D19" s="26">
        <v>46147.343055555597</v>
      </c>
      <c r="E19" s="26">
        <v>46147.345138888901</v>
      </c>
      <c r="F19" s="25" t="s">
        <v>75</v>
      </c>
      <c r="G19" s="23">
        <f t="shared" si="0"/>
        <v>3</v>
      </c>
      <c r="H19" s="23" t="str">
        <f t="shared" si="1"/>
        <v>On Target</v>
      </c>
      <c r="I19" s="25" t="s">
        <v>71</v>
      </c>
    </row>
    <row r="20" spans="1:9" x14ac:dyDescent="0.25">
      <c r="A20" s="23">
        <v>16</v>
      </c>
      <c r="B20" s="24" t="s">
        <v>89</v>
      </c>
      <c r="C20" s="25" t="s">
        <v>83</v>
      </c>
      <c r="D20" s="26">
        <v>46148.3840277778</v>
      </c>
      <c r="E20" s="26">
        <v>46148.547916666699</v>
      </c>
      <c r="F20" s="25" t="s">
        <v>75</v>
      </c>
      <c r="G20" s="23">
        <f t="shared" si="0"/>
        <v>236</v>
      </c>
      <c r="H20" s="23" t="str">
        <f t="shared" si="1"/>
        <v>Cold Risk</v>
      </c>
      <c r="I20" s="25" t="s">
        <v>71</v>
      </c>
    </row>
    <row r="21" spans="1:9" x14ac:dyDescent="0.25">
      <c r="A21" s="23">
        <v>17</v>
      </c>
      <c r="B21" s="24" t="s">
        <v>90</v>
      </c>
      <c r="C21" s="25" t="s">
        <v>77</v>
      </c>
      <c r="D21" s="26">
        <v>46148.771527777797</v>
      </c>
      <c r="E21" s="26">
        <v>46148.84375</v>
      </c>
      <c r="F21" s="25" t="s">
        <v>68</v>
      </c>
      <c r="G21" s="23">
        <f t="shared" si="0"/>
        <v>104</v>
      </c>
      <c r="H21" s="23" t="str">
        <f t="shared" si="1"/>
        <v>Cold Risk</v>
      </c>
      <c r="I21" s="25" t="s">
        <v>71</v>
      </c>
    </row>
    <row r="22" spans="1:9" x14ac:dyDescent="0.25">
      <c r="A22" s="23">
        <v>18</v>
      </c>
      <c r="B22" s="24" t="s">
        <v>91</v>
      </c>
      <c r="C22" s="25" t="s">
        <v>92</v>
      </c>
      <c r="D22" s="26">
        <v>46148.505555555603</v>
      </c>
      <c r="E22" s="26">
        <v>46148.511805555601</v>
      </c>
      <c r="F22" s="25" t="s">
        <v>68</v>
      </c>
      <c r="G22" s="23">
        <f t="shared" si="0"/>
        <v>9</v>
      </c>
      <c r="H22" s="23" t="str">
        <f t="shared" si="1"/>
        <v>Delayed</v>
      </c>
      <c r="I22" s="25" t="s">
        <v>71</v>
      </c>
    </row>
    <row r="23" spans="1:9" x14ac:dyDescent="0.25">
      <c r="A23" s="23">
        <v>19</v>
      </c>
      <c r="B23" s="24" t="s">
        <v>93</v>
      </c>
      <c r="C23" s="25" t="s">
        <v>94</v>
      </c>
      <c r="D23" s="26">
        <v>46149.622916666704</v>
      </c>
      <c r="E23" s="26">
        <v>46149.675000000003</v>
      </c>
      <c r="F23" s="25" t="s">
        <v>66</v>
      </c>
      <c r="G23" s="23">
        <f t="shared" si="0"/>
        <v>75</v>
      </c>
      <c r="H23" s="23" t="str">
        <f t="shared" si="1"/>
        <v>Cold Risk</v>
      </c>
      <c r="I23" s="25" t="s">
        <v>71</v>
      </c>
    </row>
    <row r="24" spans="1:9" x14ac:dyDescent="0.25">
      <c r="A24" s="23">
        <v>20</v>
      </c>
      <c r="B24" s="24" t="s">
        <v>95</v>
      </c>
      <c r="C24" s="25" t="s">
        <v>70</v>
      </c>
      <c r="D24" s="26">
        <v>46149.688194444498</v>
      </c>
      <c r="E24" s="26">
        <v>46149.690972222197</v>
      </c>
      <c r="F24" s="25" t="s">
        <v>68</v>
      </c>
      <c r="G24" s="23">
        <f t="shared" si="0"/>
        <v>4</v>
      </c>
      <c r="H24" s="23" t="str">
        <f t="shared" si="1"/>
        <v>On Target</v>
      </c>
      <c r="I24" s="25" t="s">
        <v>71</v>
      </c>
    </row>
    <row r="25" spans="1:9" x14ac:dyDescent="0.25">
      <c r="A25" s="23">
        <v>21</v>
      </c>
      <c r="B25" s="24" t="s">
        <v>96</v>
      </c>
      <c r="C25" s="25" t="s">
        <v>62</v>
      </c>
      <c r="D25" s="26">
        <v>46149.756944444503</v>
      </c>
      <c r="E25" s="26">
        <v>46149.899305555598</v>
      </c>
      <c r="F25" s="25" t="s">
        <v>68</v>
      </c>
      <c r="G25" s="23">
        <f t="shared" si="0"/>
        <v>205</v>
      </c>
      <c r="H25" s="23" t="str">
        <f t="shared" si="1"/>
        <v>Cold Risk</v>
      </c>
      <c r="I25" s="25" t="s">
        <v>71</v>
      </c>
    </row>
    <row r="26" spans="1:9" x14ac:dyDescent="0.25">
      <c r="A26" s="23">
        <v>22</v>
      </c>
      <c r="B26" s="24" t="s">
        <v>97</v>
      </c>
      <c r="C26" s="25" t="s">
        <v>62</v>
      </c>
      <c r="D26" s="26">
        <v>46150.609722222202</v>
      </c>
      <c r="E26" s="26">
        <v>46150.694444444503</v>
      </c>
      <c r="F26" s="25" t="s">
        <v>79</v>
      </c>
      <c r="G26" s="23">
        <f t="shared" si="0"/>
        <v>122</v>
      </c>
      <c r="H26" s="23" t="str">
        <f t="shared" si="1"/>
        <v>Cold Risk</v>
      </c>
      <c r="I26" s="25" t="s">
        <v>71</v>
      </c>
    </row>
    <row r="27" spans="1:9" x14ac:dyDescent="0.25">
      <c r="A27" s="23">
        <v>23</v>
      </c>
      <c r="B27" s="24" t="s">
        <v>98</v>
      </c>
      <c r="C27" s="25" t="s">
        <v>73</v>
      </c>
      <c r="D27" s="26">
        <v>46150.788888888899</v>
      </c>
      <c r="E27" s="26">
        <v>46150.836805555598</v>
      </c>
      <c r="F27" s="25" t="s">
        <v>63</v>
      </c>
      <c r="G27" s="23">
        <f t="shared" si="0"/>
        <v>69</v>
      </c>
      <c r="H27" s="23" t="str">
        <f t="shared" si="1"/>
        <v>Cold Risk</v>
      </c>
      <c r="I27" s="25" t="s">
        <v>71</v>
      </c>
    </row>
    <row r="28" spans="1:9" x14ac:dyDescent="0.25">
      <c r="A28" s="23">
        <v>24</v>
      </c>
      <c r="B28" s="24" t="s">
        <v>99</v>
      </c>
      <c r="C28" s="25" t="s">
        <v>77</v>
      </c>
      <c r="D28" s="26">
        <v>46150.518750000003</v>
      </c>
      <c r="E28" s="26">
        <v>46150.548611111102</v>
      </c>
      <c r="F28" s="25" t="s">
        <v>63</v>
      </c>
      <c r="G28" s="23">
        <f t="shared" si="0"/>
        <v>43</v>
      </c>
      <c r="H28" s="23" t="str">
        <f t="shared" si="1"/>
        <v>Cold Risk</v>
      </c>
      <c r="I28" s="25" t="s">
        <v>71</v>
      </c>
    </row>
    <row r="29" spans="1:9" x14ac:dyDescent="0.25">
      <c r="A29" s="23">
        <v>25</v>
      </c>
      <c r="B29" s="24" t="s">
        <v>100</v>
      </c>
      <c r="C29" s="25" t="s">
        <v>94</v>
      </c>
      <c r="D29" s="26">
        <v>46151.438888888901</v>
      </c>
      <c r="E29" s="26">
        <v>46151.448611111096</v>
      </c>
      <c r="F29" s="25" t="s">
        <v>66</v>
      </c>
      <c r="G29" s="23">
        <f t="shared" si="0"/>
        <v>14</v>
      </c>
      <c r="H29" s="23" t="str">
        <f t="shared" si="1"/>
        <v>Delayed</v>
      </c>
      <c r="I29" s="25" t="s">
        <v>71</v>
      </c>
    </row>
    <row r="30" spans="1:9" x14ac:dyDescent="0.25">
      <c r="A30" s="23">
        <v>26</v>
      </c>
      <c r="B30" s="24" t="s">
        <v>101</v>
      </c>
      <c r="C30" s="25" t="s">
        <v>94</v>
      </c>
      <c r="D30" s="26">
        <v>46151.716666666704</v>
      </c>
      <c r="E30" s="26">
        <v>46151.730555555601</v>
      </c>
      <c r="F30" s="25" t="s">
        <v>66</v>
      </c>
      <c r="G30" s="23">
        <f t="shared" si="0"/>
        <v>20</v>
      </c>
      <c r="H30" s="23" t="str">
        <f t="shared" si="1"/>
        <v>Delayed</v>
      </c>
      <c r="I30" s="25" t="s">
        <v>71</v>
      </c>
    </row>
    <row r="31" spans="1:9" x14ac:dyDescent="0.25">
      <c r="A31" s="23">
        <v>27</v>
      </c>
      <c r="B31" s="24" t="s">
        <v>102</v>
      </c>
      <c r="C31" s="25" t="s">
        <v>87</v>
      </c>
      <c r="D31" s="26">
        <v>46151.706944444399</v>
      </c>
      <c r="E31" s="26">
        <v>46151.709027777797</v>
      </c>
      <c r="F31" s="25" t="s">
        <v>66</v>
      </c>
      <c r="G31" s="23">
        <f t="shared" si="0"/>
        <v>3</v>
      </c>
      <c r="H31" s="23" t="str">
        <f t="shared" si="1"/>
        <v>On Target</v>
      </c>
      <c r="I31" s="25" t="s">
        <v>71</v>
      </c>
    </row>
    <row r="32" spans="1:9" x14ac:dyDescent="0.25">
      <c r="A32" s="23">
        <v>28</v>
      </c>
      <c r="B32" s="24" t="s">
        <v>103</v>
      </c>
      <c r="C32" s="25" t="s">
        <v>92</v>
      </c>
      <c r="D32" s="26">
        <v>46152.415972222203</v>
      </c>
      <c r="E32" s="26">
        <v>46152.425000000003</v>
      </c>
      <c r="F32" s="25" t="s">
        <v>63</v>
      </c>
      <c r="G32" s="23">
        <f t="shared" si="0"/>
        <v>13</v>
      </c>
      <c r="H32" s="23" t="str">
        <f t="shared" si="1"/>
        <v>Delayed</v>
      </c>
      <c r="I32" s="25" t="s">
        <v>71</v>
      </c>
    </row>
    <row r="33" spans="1:9" x14ac:dyDescent="0.25">
      <c r="A33" s="23">
        <v>29</v>
      </c>
      <c r="B33" s="24" t="s">
        <v>104</v>
      </c>
      <c r="C33" s="25" t="s">
        <v>94</v>
      </c>
      <c r="D33" s="26">
        <v>46152.34375</v>
      </c>
      <c r="E33" s="26">
        <v>46152.394444444399</v>
      </c>
      <c r="F33" s="25" t="s">
        <v>68</v>
      </c>
      <c r="G33" s="23">
        <f t="shared" si="0"/>
        <v>73</v>
      </c>
      <c r="H33" s="23" t="str">
        <f t="shared" si="1"/>
        <v>Cold Risk</v>
      </c>
      <c r="I33" s="25" t="s">
        <v>71</v>
      </c>
    </row>
    <row r="34" spans="1:9" x14ac:dyDescent="0.25">
      <c r="A34" s="23">
        <v>30</v>
      </c>
      <c r="B34" s="24" t="s">
        <v>105</v>
      </c>
      <c r="C34" s="25" t="s">
        <v>62</v>
      </c>
      <c r="D34" s="26">
        <v>46152.408333333296</v>
      </c>
      <c r="E34" s="26">
        <v>46152.504861111098</v>
      </c>
      <c r="F34" s="25" t="s">
        <v>79</v>
      </c>
      <c r="G34" s="23">
        <f t="shared" si="0"/>
        <v>139</v>
      </c>
      <c r="H34" s="23" t="str">
        <f t="shared" si="1"/>
        <v>Cold Risk</v>
      </c>
      <c r="I34" s="25" t="s">
        <v>71</v>
      </c>
    </row>
    <row r="35" spans="1:9" x14ac:dyDescent="0.25">
      <c r="A35" s="23"/>
      <c r="B35" s="23"/>
      <c r="C35" s="23"/>
      <c r="D35" s="26"/>
      <c r="E35" s="26"/>
      <c r="F35" s="23"/>
      <c r="G35" s="23" t="str">
        <f t="shared" si="0"/>
        <v/>
      </c>
      <c r="H35" s="23" t="str">
        <f t="shared" si="1"/>
        <v/>
      </c>
      <c r="I35" s="23"/>
    </row>
    <row r="36" spans="1:9" x14ac:dyDescent="0.25">
      <c r="A36" s="23"/>
      <c r="B36" s="23"/>
      <c r="C36" s="23"/>
      <c r="D36" s="26"/>
      <c r="E36" s="26"/>
      <c r="F36" s="23"/>
      <c r="G36" s="23" t="str">
        <f t="shared" si="0"/>
        <v/>
      </c>
      <c r="H36" s="23" t="str">
        <f t="shared" si="1"/>
        <v/>
      </c>
      <c r="I36" s="23"/>
    </row>
    <row r="37" spans="1:9" x14ac:dyDescent="0.25">
      <c r="A37" s="23"/>
      <c r="B37" s="23"/>
      <c r="C37" s="23"/>
      <c r="D37" s="26"/>
      <c r="E37" s="26"/>
      <c r="F37" s="23"/>
      <c r="G37" s="23" t="str">
        <f t="shared" ref="G37:G68" si="2">IF(OR($D37="",$E37=""),"",ROUND((E37-D37)*1440,0))</f>
        <v/>
      </c>
      <c r="H37" s="23" t="str">
        <f t="shared" ref="H37:H68" si="3">IF(G37="","",IF(G37&lt;=5,"On Target",IF(G37&lt;=30,"Delayed","Cold Risk")))</f>
        <v/>
      </c>
      <c r="I37" s="23"/>
    </row>
    <row r="38" spans="1:9" x14ac:dyDescent="0.25">
      <c r="A38" s="23"/>
      <c r="B38" s="23"/>
      <c r="C38" s="23"/>
      <c r="D38" s="26"/>
      <c r="E38" s="26"/>
      <c r="F38" s="23"/>
      <c r="G38" s="23" t="str">
        <f t="shared" si="2"/>
        <v/>
      </c>
      <c r="H38" s="23" t="str">
        <f t="shared" si="3"/>
        <v/>
      </c>
      <c r="I38" s="23"/>
    </row>
    <row r="39" spans="1:9" x14ac:dyDescent="0.25">
      <c r="A39" s="23"/>
      <c r="B39" s="23"/>
      <c r="C39" s="23"/>
      <c r="D39" s="26"/>
      <c r="E39" s="26"/>
      <c r="F39" s="23"/>
      <c r="G39" s="23" t="str">
        <f t="shared" si="2"/>
        <v/>
      </c>
      <c r="H39" s="23" t="str">
        <f t="shared" si="3"/>
        <v/>
      </c>
      <c r="I39" s="23"/>
    </row>
    <row r="40" spans="1:9" x14ac:dyDescent="0.25">
      <c r="A40" s="23"/>
      <c r="B40" s="23"/>
      <c r="C40" s="23"/>
      <c r="D40" s="26"/>
      <c r="E40" s="26"/>
      <c r="F40" s="23"/>
      <c r="G40" s="23" t="str">
        <f t="shared" si="2"/>
        <v/>
      </c>
      <c r="H40" s="23" t="str">
        <f t="shared" si="3"/>
        <v/>
      </c>
      <c r="I40" s="23"/>
    </row>
    <row r="41" spans="1:9" x14ac:dyDescent="0.25">
      <c r="A41" s="23"/>
      <c r="B41" s="23"/>
      <c r="C41" s="23"/>
      <c r="D41" s="26"/>
      <c r="E41" s="26"/>
      <c r="F41" s="23"/>
      <c r="G41" s="23" t="str">
        <f t="shared" si="2"/>
        <v/>
      </c>
      <c r="H41" s="23" t="str">
        <f t="shared" si="3"/>
        <v/>
      </c>
      <c r="I41" s="23"/>
    </row>
    <row r="42" spans="1:9" x14ac:dyDescent="0.25">
      <c r="A42" s="23"/>
      <c r="B42" s="23"/>
      <c r="C42" s="23"/>
      <c r="D42" s="26"/>
      <c r="E42" s="26"/>
      <c r="F42" s="23"/>
      <c r="G42" s="23" t="str">
        <f t="shared" si="2"/>
        <v/>
      </c>
      <c r="H42" s="23" t="str">
        <f t="shared" si="3"/>
        <v/>
      </c>
      <c r="I42" s="23"/>
    </row>
    <row r="43" spans="1:9" x14ac:dyDescent="0.25">
      <c r="A43" s="23"/>
      <c r="B43" s="23"/>
      <c r="C43" s="23"/>
      <c r="D43" s="26"/>
      <c r="E43" s="26"/>
      <c r="F43" s="23"/>
      <c r="G43" s="23" t="str">
        <f t="shared" si="2"/>
        <v/>
      </c>
      <c r="H43" s="23" t="str">
        <f t="shared" si="3"/>
        <v/>
      </c>
      <c r="I43" s="23"/>
    </row>
    <row r="44" spans="1:9" x14ac:dyDescent="0.25">
      <c r="A44" s="23"/>
      <c r="B44" s="23"/>
      <c r="C44" s="23"/>
      <c r="D44" s="26"/>
      <c r="E44" s="26"/>
      <c r="F44" s="23"/>
      <c r="G44" s="23" t="str">
        <f t="shared" si="2"/>
        <v/>
      </c>
      <c r="H44" s="23" t="str">
        <f t="shared" si="3"/>
        <v/>
      </c>
      <c r="I44" s="23"/>
    </row>
    <row r="45" spans="1:9" x14ac:dyDescent="0.25">
      <c r="A45" s="23"/>
      <c r="B45" s="23"/>
      <c r="C45" s="23"/>
      <c r="D45" s="26"/>
      <c r="E45" s="26"/>
      <c r="F45" s="23"/>
      <c r="G45" s="23" t="str">
        <f t="shared" si="2"/>
        <v/>
      </c>
      <c r="H45" s="23" t="str">
        <f t="shared" si="3"/>
        <v/>
      </c>
      <c r="I45" s="23"/>
    </row>
    <row r="46" spans="1:9" x14ac:dyDescent="0.25">
      <c r="A46" s="23"/>
      <c r="B46" s="23"/>
      <c r="C46" s="23"/>
      <c r="D46" s="26"/>
      <c r="E46" s="26"/>
      <c r="F46" s="23"/>
      <c r="G46" s="23" t="str">
        <f t="shared" si="2"/>
        <v/>
      </c>
      <c r="H46" s="23" t="str">
        <f t="shared" si="3"/>
        <v/>
      </c>
      <c r="I46" s="23"/>
    </row>
    <row r="47" spans="1:9" x14ac:dyDescent="0.25">
      <c r="A47" s="23"/>
      <c r="B47" s="23"/>
      <c r="C47" s="23"/>
      <c r="D47" s="26"/>
      <c r="E47" s="26"/>
      <c r="F47" s="23"/>
      <c r="G47" s="23" t="str">
        <f t="shared" si="2"/>
        <v/>
      </c>
      <c r="H47" s="23" t="str">
        <f t="shared" si="3"/>
        <v/>
      </c>
      <c r="I47" s="23"/>
    </row>
    <row r="48" spans="1:9" x14ac:dyDescent="0.25">
      <c r="A48" s="23"/>
      <c r="B48" s="23"/>
      <c r="C48" s="23"/>
      <c r="D48" s="26"/>
      <c r="E48" s="26"/>
      <c r="F48" s="23"/>
      <c r="G48" s="23" t="str">
        <f t="shared" si="2"/>
        <v/>
      </c>
      <c r="H48" s="23" t="str">
        <f t="shared" si="3"/>
        <v/>
      </c>
      <c r="I48" s="23"/>
    </row>
    <row r="49" spans="1:9" x14ac:dyDescent="0.25">
      <c r="A49" s="23"/>
      <c r="B49" s="23"/>
      <c r="C49" s="23"/>
      <c r="D49" s="26"/>
      <c r="E49" s="26"/>
      <c r="F49" s="23"/>
      <c r="G49" s="23" t="str">
        <f t="shared" si="2"/>
        <v/>
      </c>
      <c r="H49" s="23" t="str">
        <f t="shared" si="3"/>
        <v/>
      </c>
      <c r="I49" s="23"/>
    </row>
    <row r="50" spans="1:9" x14ac:dyDescent="0.25">
      <c r="A50" s="23"/>
      <c r="B50" s="23"/>
      <c r="C50" s="23"/>
      <c r="D50" s="26"/>
      <c r="E50" s="26"/>
      <c r="F50" s="23"/>
      <c r="G50" s="23" t="str">
        <f t="shared" si="2"/>
        <v/>
      </c>
      <c r="H50" s="23" t="str">
        <f t="shared" si="3"/>
        <v/>
      </c>
      <c r="I50" s="23"/>
    </row>
    <row r="51" spans="1:9" x14ac:dyDescent="0.25">
      <c r="A51" s="23"/>
      <c r="B51" s="23"/>
      <c r="C51" s="23"/>
      <c r="D51" s="26"/>
      <c r="E51" s="26"/>
      <c r="F51" s="23"/>
      <c r="G51" s="23" t="str">
        <f t="shared" si="2"/>
        <v/>
      </c>
      <c r="H51" s="23" t="str">
        <f t="shared" si="3"/>
        <v/>
      </c>
      <c r="I51" s="23"/>
    </row>
    <row r="52" spans="1:9" x14ac:dyDescent="0.25">
      <c r="A52" s="23"/>
      <c r="B52" s="23"/>
      <c r="C52" s="23"/>
      <c r="D52" s="26"/>
      <c r="E52" s="26"/>
      <c r="F52" s="23"/>
      <c r="G52" s="23" t="str">
        <f t="shared" si="2"/>
        <v/>
      </c>
      <c r="H52" s="23" t="str">
        <f t="shared" si="3"/>
        <v/>
      </c>
      <c r="I52" s="23"/>
    </row>
    <row r="53" spans="1:9" x14ac:dyDescent="0.25">
      <c r="A53" s="23"/>
      <c r="B53" s="23"/>
      <c r="C53" s="23"/>
      <c r="D53" s="26"/>
      <c r="E53" s="26"/>
      <c r="F53" s="23"/>
      <c r="G53" s="23" t="str">
        <f t="shared" si="2"/>
        <v/>
      </c>
      <c r="H53" s="23" t="str">
        <f t="shared" si="3"/>
        <v/>
      </c>
      <c r="I53" s="23"/>
    </row>
    <row r="54" spans="1:9" x14ac:dyDescent="0.25">
      <c r="A54" s="23"/>
      <c r="B54" s="23"/>
      <c r="C54" s="23"/>
      <c r="D54" s="26"/>
      <c r="E54" s="26"/>
      <c r="F54" s="23"/>
      <c r="G54" s="23" t="str">
        <f t="shared" si="2"/>
        <v/>
      </c>
      <c r="H54" s="23" t="str">
        <f t="shared" si="3"/>
        <v/>
      </c>
      <c r="I54" s="23"/>
    </row>
    <row r="55" spans="1:9" x14ac:dyDescent="0.25">
      <c r="A55" s="23"/>
      <c r="B55" s="23"/>
      <c r="C55" s="23"/>
      <c r="D55" s="26"/>
      <c r="E55" s="26"/>
      <c r="F55" s="23"/>
      <c r="G55" s="23" t="str">
        <f t="shared" si="2"/>
        <v/>
      </c>
      <c r="H55" s="23" t="str">
        <f t="shared" si="3"/>
        <v/>
      </c>
      <c r="I55" s="23"/>
    </row>
    <row r="56" spans="1:9" x14ac:dyDescent="0.25">
      <c r="A56" s="23"/>
      <c r="B56" s="23"/>
      <c r="C56" s="23"/>
      <c r="D56" s="26"/>
      <c r="E56" s="26"/>
      <c r="F56" s="23"/>
      <c r="G56" s="23" t="str">
        <f t="shared" si="2"/>
        <v/>
      </c>
      <c r="H56" s="23" t="str">
        <f t="shared" si="3"/>
        <v/>
      </c>
      <c r="I56" s="23"/>
    </row>
    <row r="57" spans="1:9" x14ac:dyDescent="0.25">
      <c r="A57" s="23"/>
      <c r="B57" s="23"/>
      <c r="C57" s="23"/>
      <c r="D57" s="26"/>
      <c r="E57" s="26"/>
      <c r="F57" s="23"/>
      <c r="G57" s="23" t="str">
        <f t="shared" si="2"/>
        <v/>
      </c>
      <c r="H57" s="23" t="str">
        <f t="shared" si="3"/>
        <v/>
      </c>
      <c r="I57" s="23"/>
    </row>
    <row r="58" spans="1:9" x14ac:dyDescent="0.25">
      <c r="A58" s="23"/>
      <c r="B58" s="23"/>
      <c r="C58" s="23"/>
      <c r="D58" s="26"/>
      <c r="E58" s="26"/>
      <c r="F58" s="23"/>
      <c r="G58" s="23" t="str">
        <f t="shared" si="2"/>
        <v/>
      </c>
      <c r="H58" s="23" t="str">
        <f t="shared" si="3"/>
        <v/>
      </c>
      <c r="I58" s="23"/>
    </row>
    <row r="59" spans="1:9" x14ac:dyDescent="0.25">
      <c r="A59" s="23"/>
      <c r="B59" s="23"/>
      <c r="C59" s="23"/>
      <c r="D59" s="26"/>
      <c r="E59" s="26"/>
      <c r="F59" s="23"/>
      <c r="G59" s="23" t="str">
        <f t="shared" si="2"/>
        <v/>
      </c>
      <c r="H59" s="23" t="str">
        <f t="shared" si="3"/>
        <v/>
      </c>
      <c r="I59" s="23"/>
    </row>
    <row r="60" spans="1:9" x14ac:dyDescent="0.25">
      <c r="A60" s="23"/>
      <c r="B60" s="23"/>
      <c r="C60" s="23"/>
      <c r="D60" s="26"/>
      <c r="E60" s="26"/>
      <c r="F60" s="23"/>
      <c r="G60" s="23" t="str">
        <f t="shared" si="2"/>
        <v/>
      </c>
      <c r="H60" s="23" t="str">
        <f t="shared" si="3"/>
        <v/>
      </c>
      <c r="I60" s="23"/>
    </row>
    <row r="61" spans="1:9" x14ac:dyDescent="0.25">
      <c r="A61" s="23"/>
      <c r="B61" s="23"/>
      <c r="C61" s="23"/>
      <c r="D61" s="26"/>
      <c r="E61" s="26"/>
      <c r="F61" s="23"/>
      <c r="G61" s="23" t="str">
        <f t="shared" si="2"/>
        <v/>
      </c>
      <c r="H61" s="23" t="str">
        <f t="shared" si="3"/>
        <v/>
      </c>
      <c r="I61" s="23"/>
    </row>
    <row r="62" spans="1:9" x14ac:dyDescent="0.25">
      <c r="A62" s="23"/>
      <c r="B62" s="23"/>
      <c r="C62" s="23"/>
      <c r="D62" s="26"/>
      <c r="E62" s="26"/>
      <c r="F62" s="23"/>
      <c r="G62" s="23" t="str">
        <f t="shared" si="2"/>
        <v/>
      </c>
      <c r="H62" s="23" t="str">
        <f t="shared" si="3"/>
        <v/>
      </c>
      <c r="I62" s="23"/>
    </row>
    <row r="63" spans="1:9" x14ac:dyDescent="0.25">
      <c r="A63" s="23"/>
      <c r="B63" s="23"/>
      <c r="C63" s="23"/>
      <c r="D63" s="26"/>
      <c r="E63" s="26"/>
      <c r="F63" s="23"/>
      <c r="G63" s="23" t="str">
        <f t="shared" si="2"/>
        <v/>
      </c>
      <c r="H63" s="23" t="str">
        <f t="shared" si="3"/>
        <v/>
      </c>
      <c r="I63" s="23"/>
    </row>
    <row r="64" spans="1:9" x14ac:dyDescent="0.25">
      <c r="A64" s="23"/>
      <c r="B64" s="23"/>
      <c r="C64" s="23"/>
      <c r="D64" s="26"/>
      <c r="E64" s="26"/>
      <c r="F64" s="23"/>
      <c r="G64" s="23" t="str">
        <f t="shared" si="2"/>
        <v/>
      </c>
      <c r="H64" s="23" t="str">
        <f t="shared" si="3"/>
        <v/>
      </c>
      <c r="I64" s="23"/>
    </row>
    <row r="65" spans="1:9" x14ac:dyDescent="0.25">
      <c r="A65" s="23"/>
      <c r="B65" s="23"/>
      <c r="C65" s="23"/>
      <c r="D65" s="26"/>
      <c r="E65" s="26"/>
      <c r="F65" s="23"/>
      <c r="G65" s="23" t="str">
        <f t="shared" si="2"/>
        <v/>
      </c>
      <c r="H65" s="23" t="str">
        <f t="shared" si="3"/>
        <v/>
      </c>
      <c r="I65" s="23"/>
    </row>
    <row r="66" spans="1:9" x14ac:dyDescent="0.25">
      <c r="A66" s="23"/>
      <c r="B66" s="23"/>
      <c r="C66" s="23"/>
      <c r="D66" s="26"/>
      <c r="E66" s="26"/>
      <c r="F66" s="23"/>
      <c r="G66" s="23" t="str">
        <f t="shared" si="2"/>
        <v/>
      </c>
      <c r="H66" s="23" t="str">
        <f t="shared" si="3"/>
        <v/>
      </c>
      <c r="I66" s="23"/>
    </row>
    <row r="67" spans="1:9" x14ac:dyDescent="0.25">
      <c r="A67" s="23"/>
      <c r="B67" s="23"/>
      <c r="C67" s="23"/>
      <c r="D67" s="26"/>
      <c r="E67" s="26"/>
      <c r="F67" s="23"/>
      <c r="G67" s="23" t="str">
        <f t="shared" si="2"/>
        <v/>
      </c>
      <c r="H67" s="23" t="str">
        <f t="shared" si="3"/>
        <v/>
      </c>
      <c r="I67" s="23"/>
    </row>
    <row r="68" spans="1:9" x14ac:dyDescent="0.25">
      <c r="A68" s="23"/>
      <c r="B68" s="23"/>
      <c r="C68" s="23"/>
      <c r="D68" s="26"/>
      <c r="E68" s="26"/>
      <c r="F68" s="23"/>
      <c r="G68" s="23" t="str">
        <f t="shared" si="2"/>
        <v/>
      </c>
      <c r="H68" s="23" t="str">
        <f t="shared" si="3"/>
        <v/>
      </c>
      <c r="I68" s="23"/>
    </row>
    <row r="69" spans="1:9" x14ac:dyDescent="0.25">
      <c r="A69" s="23"/>
      <c r="B69" s="23"/>
      <c r="C69" s="23"/>
      <c r="D69" s="26"/>
      <c r="E69" s="26"/>
      <c r="F69" s="23"/>
      <c r="G69" s="23" t="str">
        <f t="shared" ref="G69:G100" si="4">IF(OR($D69="",$E69=""),"",ROUND((E69-D69)*1440,0))</f>
        <v/>
      </c>
      <c r="H69" s="23" t="str">
        <f t="shared" ref="H69:H100" si="5">IF(G69="","",IF(G69&lt;=5,"On Target",IF(G69&lt;=30,"Delayed","Cold Risk")))</f>
        <v/>
      </c>
      <c r="I69" s="23"/>
    </row>
    <row r="70" spans="1:9" x14ac:dyDescent="0.25">
      <c r="A70" s="23"/>
      <c r="B70" s="23"/>
      <c r="C70" s="23"/>
      <c r="D70" s="26"/>
      <c r="E70" s="26"/>
      <c r="F70" s="23"/>
      <c r="G70" s="23" t="str">
        <f t="shared" si="4"/>
        <v/>
      </c>
      <c r="H70" s="23" t="str">
        <f t="shared" si="5"/>
        <v/>
      </c>
      <c r="I70" s="23"/>
    </row>
    <row r="71" spans="1:9" x14ac:dyDescent="0.25">
      <c r="A71" s="23"/>
      <c r="B71" s="23"/>
      <c r="C71" s="23"/>
      <c r="D71" s="26"/>
      <c r="E71" s="26"/>
      <c r="F71" s="23"/>
      <c r="G71" s="23" t="str">
        <f t="shared" si="4"/>
        <v/>
      </c>
      <c r="H71" s="23" t="str">
        <f t="shared" si="5"/>
        <v/>
      </c>
      <c r="I71" s="23"/>
    </row>
    <row r="72" spans="1:9" x14ac:dyDescent="0.25">
      <c r="A72" s="23"/>
      <c r="B72" s="23"/>
      <c r="C72" s="23"/>
      <c r="D72" s="26"/>
      <c r="E72" s="26"/>
      <c r="F72" s="23"/>
      <c r="G72" s="23" t="str">
        <f t="shared" si="4"/>
        <v/>
      </c>
      <c r="H72" s="23" t="str">
        <f t="shared" si="5"/>
        <v/>
      </c>
      <c r="I72" s="23"/>
    </row>
    <row r="73" spans="1:9" x14ac:dyDescent="0.25">
      <c r="A73" s="23"/>
      <c r="B73" s="23"/>
      <c r="C73" s="23"/>
      <c r="D73" s="26"/>
      <c r="E73" s="26"/>
      <c r="F73" s="23"/>
      <c r="G73" s="23" t="str">
        <f t="shared" si="4"/>
        <v/>
      </c>
      <c r="H73" s="23" t="str">
        <f t="shared" si="5"/>
        <v/>
      </c>
      <c r="I73" s="23"/>
    </row>
    <row r="74" spans="1:9" x14ac:dyDescent="0.25">
      <c r="A74" s="23"/>
      <c r="B74" s="23"/>
      <c r="C74" s="23"/>
      <c r="D74" s="26"/>
      <c r="E74" s="26"/>
      <c r="F74" s="23"/>
      <c r="G74" s="23" t="str">
        <f t="shared" si="4"/>
        <v/>
      </c>
      <c r="H74" s="23" t="str">
        <f t="shared" si="5"/>
        <v/>
      </c>
      <c r="I74" s="23"/>
    </row>
    <row r="75" spans="1:9" x14ac:dyDescent="0.25">
      <c r="A75" s="23"/>
      <c r="B75" s="23"/>
      <c r="C75" s="23"/>
      <c r="D75" s="26"/>
      <c r="E75" s="26"/>
      <c r="F75" s="23"/>
      <c r="G75" s="23" t="str">
        <f t="shared" si="4"/>
        <v/>
      </c>
      <c r="H75" s="23" t="str">
        <f t="shared" si="5"/>
        <v/>
      </c>
      <c r="I75" s="23"/>
    </row>
    <row r="76" spans="1:9" x14ac:dyDescent="0.25">
      <c r="A76" s="23"/>
      <c r="B76" s="23"/>
      <c r="C76" s="23"/>
      <c r="D76" s="26"/>
      <c r="E76" s="26"/>
      <c r="F76" s="23"/>
      <c r="G76" s="23" t="str">
        <f t="shared" si="4"/>
        <v/>
      </c>
      <c r="H76" s="23" t="str">
        <f t="shared" si="5"/>
        <v/>
      </c>
      <c r="I76" s="23"/>
    </row>
    <row r="77" spans="1:9" x14ac:dyDescent="0.25">
      <c r="A77" s="23"/>
      <c r="B77" s="23"/>
      <c r="C77" s="23"/>
      <c r="D77" s="26"/>
      <c r="E77" s="26"/>
      <c r="F77" s="23"/>
      <c r="G77" s="23" t="str">
        <f t="shared" si="4"/>
        <v/>
      </c>
      <c r="H77" s="23" t="str">
        <f t="shared" si="5"/>
        <v/>
      </c>
      <c r="I77" s="23"/>
    </row>
    <row r="78" spans="1:9" x14ac:dyDescent="0.25">
      <c r="A78" s="23"/>
      <c r="B78" s="23"/>
      <c r="C78" s="23"/>
      <c r="D78" s="26"/>
      <c r="E78" s="26"/>
      <c r="F78" s="23"/>
      <c r="G78" s="23" t="str">
        <f t="shared" si="4"/>
        <v/>
      </c>
      <c r="H78" s="23" t="str">
        <f t="shared" si="5"/>
        <v/>
      </c>
      <c r="I78" s="23"/>
    </row>
    <row r="79" spans="1:9" x14ac:dyDescent="0.25">
      <c r="A79" s="23"/>
      <c r="B79" s="23"/>
      <c r="C79" s="23"/>
      <c r="D79" s="26"/>
      <c r="E79" s="26"/>
      <c r="F79" s="23"/>
      <c r="G79" s="23" t="str">
        <f t="shared" si="4"/>
        <v/>
      </c>
      <c r="H79" s="23" t="str">
        <f t="shared" si="5"/>
        <v/>
      </c>
      <c r="I79" s="23"/>
    </row>
    <row r="80" spans="1:9" x14ac:dyDescent="0.25">
      <c r="A80" s="23"/>
      <c r="B80" s="23"/>
      <c r="C80" s="23"/>
      <c r="D80" s="26"/>
      <c r="E80" s="26"/>
      <c r="F80" s="23"/>
      <c r="G80" s="23" t="str">
        <f t="shared" si="4"/>
        <v/>
      </c>
      <c r="H80" s="23" t="str">
        <f t="shared" si="5"/>
        <v/>
      </c>
      <c r="I80" s="23"/>
    </row>
    <row r="81" spans="1:9" x14ac:dyDescent="0.25">
      <c r="A81" s="23"/>
      <c r="B81" s="23"/>
      <c r="C81" s="23"/>
      <c r="D81" s="26"/>
      <c r="E81" s="26"/>
      <c r="F81" s="23"/>
      <c r="G81" s="23" t="str">
        <f t="shared" si="4"/>
        <v/>
      </c>
      <c r="H81" s="23" t="str">
        <f t="shared" si="5"/>
        <v/>
      </c>
      <c r="I81" s="23"/>
    </row>
    <row r="82" spans="1:9" x14ac:dyDescent="0.25">
      <c r="A82" s="23"/>
      <c r="B82" s="23"/>
      <c r="C82" s="23"/>
      <c r="D82" s="26"/>
      <c r="E82" s="26"/>
      <c r="F82" s="23"/>
      <c r="G82" s="23" t="str">
        <f t="shared" si="4"/>
        <v/>
      </c>
      <c r="H82" s="23" t="str">
        <f t="shared" si="5"/>
        <v/>
      </c>
      <c r="I82" s="23"/>
    </row>
    <row r="83" spans="1:9" x14ac:dyDescent="0.25">
      <c r="A83" s="23"/>
      <c r="B83" s="23"/>
      <c r="C83" s="23"/>
      <c r="D83" s="26"/>
      <c r="E83" s="26"/>
      <c r="F83" s="23"/>
      <c r="G83" s="23" t="str">
        <f t="shared" si="4"/>
        <v/>
      </c>
      <c r="H83" s="23" t="str">
        <f t="shared" si="5"/>
        <v/>
      </c>
      <c r="I83" s="23"/>
    </row>
    <row r="84" spans="1:9" x14ac:dyDescent="0.25">
      <c r="A84" s="23"/>
      <c r="B84" s="23"/>
      <c r="C84" s="23"/>
      <c r="D84" s="26"/>
      <c r="E84" s="26"/>
      <c r="F84" s="23"/>
      <c r="G84" s="23" t="str">
        <f t="shared" si="4"/>
        <v/>
      </c>
      <c r="H84" s="23" t="str">
        <f t="shared" si="5"/>
        <v/>
      </c>
      <c r="I84" s="23"/>
    </row>
    <row r="85" spans="1:9" x14ac:dyDescent="0.25">
      <c r="A85" s="23"/>
      <c r="B85" s="23"/>
      <c r="C85" s="23"/>
      <c r="D85" s="26"/>
      <c r="E85" s="26"/>
      <c r="F85" s="23"/>
      <c r="G85" s="23" t="str">
        <f t="shared" si="4"/>
        <v/>
      </c>
      <c r="H85" s="23" t="str">
        <f t="shared" si="5"/>
        <v/>
      </c>
      <c r="I85" s="23"/>
    </row>
    <row r="86" spans="1:9" x14ac:dyDescent="0.25">
      <c r="A86" s="23"/>
      <c r="B86" s="23"/>
      <c r="C86" s="23"/>
      <c r="D86" s="26"/>
      <c r="E86" s="26"/>
      <c r="F86" s="23"/>
      <c r="G86" s="23" t="str">
        <f t="shared" si="4"/>
        <v/>
      </c>
      <c r="H86" s="23" t="str">
        <f t="shared" si="5"/>
        <v/>
      </c>
      <c r="I86" s="23"/>
    </row>
    <row r="87" spans="1:9" x14ac:dyDescent="0.25">
      <c r="A87" s="23"/>
      <c r="B87" s="23"/>
      <c r="C87" s="23"/>
      <c r="D87" s="26"/>
      <c r="E87" s="26"/>
      <c r="F87" s="23"/>
      <c r="G87" s="23" t="str">
        <f t="shared" si="4"/>
        <v/>
      </c>
      <c r="H87" s="23" t="str">
        <f t="shared" si="5"/>
        <v/>
      </c>
      <c r="I87" s="23"/>
    </row>
    <row r="88" spans="1:9" x14ac:dyDescent="0.25">
      <c r="A88" s="23"/>
      <c r="B88" s="23"/>
      <c r="C88" s="23"/>
      <c r="D88" s="26"/>
      <c r="E88" s="26"/>
      <c r="F88" s="23"/>
      <c r="G88" s="23" t="str">
        <f t="shared" si="4"/>
        <v/>
      </c>
      <c r="H88" s="23" t="str">
        <f t="shared" si="5"/>
        <v/>
      </c>
      <c r="I88" s="23"/>
    </row>
    <row r="89" spans="1:9" x14ac:dyDescent="0.25">
      <c r="A89" s="23"/>
      <c r="B89" s="23"/>
      <c r="C89" s="23"/>
      <c r="D89" s="26"/>
      <c r="E89" s="26"/>
      <c r="F89" s="23"/>
      <c r="G89" s="23" t="str">
        <f t="shared" si="4"/>
        <v/>
      </c>
      <c r="H89" s="23" t="str">
        <f t="shared" si="5"/>
        <v/>
      </c>
      <c r="I89" s="23"/>
    </row>
    <row r="90" spans="1:9" x14ac:dyDescent="0.25">
      <c r="A90" s="23"/>
      <c r="B90" s="23"/>
      <c r="C90" s="23"/>
      <c r="D90" s="26"/>
      <c r="E90" s="26"/>
      <c r="F90" s="23"/>
      <c r="G90" s="23" t="str">
        <f t="shared" si="4"/>
        <v/>
      </c>
      <c r="H90" s="23" t="str">
        <f t="shared" si="5"/>
        <v/>
      </c>
      <c r="I90" s="23"/>
    </row>
    <row r="91" spans="1:9" x14ac:dyDescent="0.25">
      <c r="A91" s="23"/>
      <c r="B91" s="23"/>
      <c r="C91" s="23"/>
      <c r="D91" s="26"/>
      <c r="E91" s="26"/>
      <c r="F91" s="23"/>
      <c r="G91" s="23" t="str">
        <f t="shared" si="4"/>
        <v/>
      </c>
      <c r="H91" s="23" t="str">
        <f t="shared" si="5"/>
        <v/>
      </c>
      <c r="I91" s="23"/>
    </row>
    <row r="92" spans="1:9" x14ac:dyDescent="0.25">
      <c r="A92" s="23"/>
      <c r="B92" s="23"/>
      <c r="C92" s="23"/>
      <c r="D92" s="26"/>
      <c r="E92" s="26"/>
      <c r="F92" s="23"/>
      <c r="G92" s="23" t="str">
        <f t="shared" si="4"/>
        <v/>
      </c>
      <c r="H92" s="23" t="str">
        <f t="shared" si="5"/>
        <v/>
      </c>
      <c r="I92" s="23"/>
    </row>
    <row r="93" spans="1:9" x14ac:dyDescent="0.25">
      <c r="A93" s="23"/>
      <c r="B93" s="23"/>
      <c r="C93" s="23"/>
      <c r="D93" s="26"/>
      <c r="E93" s="26"/>
      <c r="F93" s="23"/>
      <c r="G93" s="23" t="str">
        <f t="shared" si="4"/>
        <v/>
      </c>
      <c r="H93" s="23" t="str">
        <f t="shared" si="5"/>
        <v/>
      </c>
      <c r="I93" s="23"/>
    </row>
    <row r="94" spans="1:9" x14ac:dyDescent="0.25">
      <c r="A94" s="23"/>
      <c r="B94" s="23"/>
      <c r="C94" s="23"/>
      <c r="D94" s="26"/>
      <c r="E94" s="26"/>
      <c r="F94" s="23"/>
      <c r="G94" s="23" t="str">
        <f t="shared" si="4"/>
        <v/>
      </c>
      <c r="H94" s="23" t="str">
        <f t="shared" si="5"/>
        <v/>
      </c>
      <c r="I94" s="23"/>
    </row>
    <row r="95" spans="1:9" x14ac:dyDescent="0.25">
      <c r="A95" s="23"/>
      <c r="B95" s="23"/>
      <c r="C95" s="23"/>
      <c r="D95" s="26"/>
      <c r="E95" s="26"/>
      <c r="F95" s="23"/>
      <c r="G95" s="23" t="str">
        <f t="shared" si="4"/>
        <v/>
      </c>
      <c r="H95" s="23" t="str">
        <f t="shared" si="5"/>
        <v/>
      </c>
      <c r="I95" s="23"/>
    </row>
    <row r="96" spans="1:9" x14ac:dyDescent="0.25">
      <c r="A96" s="23"/>
      <c r="B96" s="23"/>
      <c r="C96" s="23"/>
      <c r="D96" s="26"/>
      <c r="E96" s="26"/>
      <c r="F96" s="23"/>
      <c r="G96" s="23" t="str">
        <f t="shared" si="4"/>
        <v/>
      </c>
      <c r="H96" s="23" t="str">
        <f t="shared" si="5"/>
        <v/>
      </c>
      <c r="I96" s="23"/>
    </row>
    <row r="97" spans="1:9" x14ac:dyDescent="0.25">
      <c r="A97" s="23"/>
      <c r="B97" s="23"/>
      <c r="C97" s="23"/>
      <c r="D97" s="26"/>
      <c r="E97" s="26"/>
      <c r="F97" s="23"/>
      <c r="G97" s="23" t="str">
        <f t="shared" si="4"/>
        <v/>
      </c>
      <c r="H97" s="23" t="str">
        <f t="shared" si="5"/>
        <v/>
      </c>
      <c r="I97" s="23"/>
    </row>
    <row r="98" spans="1:9" x14ac:dyDescent="0.25">
      <c r="A98" s="23"/>
      <c r="B98" s="23"/>
      <c r="C98" s="23"/>
      <c r="D98" s="26"/>
      <c r="E98" s="26"/>
      <c r="F98" s="23"/>
      <c r="G98" s="23" t="str">
        <f t="shared" si="4"/>
        <v/>
      </c>
      <c r="H98" s="23" t="str">
        <f t="shared" si="5"/>
        <v/>
      </c>
      <c r="I98" s="23"/>
    </row>
    <row r="99" spans="1:9" x14ac:dyDescent="0.25">
      <c r="A99" s="23"/>
      <c r="B99" s="23"/>
      <c r="C99" s="23"/>
      <c r="D99" s="26"/>
      <c r="E99" s="26"/>
      <c r="F99" s="23"/>
      <c r="G99" s="23" t="str">
        <f t="shared" si="4"/>
        <v/>
      </c>
      <c r="H99" s="23" t="str">
        <f t="shared" si="5"/>
        <v/>
      </c>
      <c r="I99" s="23"/>
    </row>
    <row r="100" spans="1:9" x14ac:dyDescent="0.25">
      <c r="A100" s="23"/>
      <c r="B100" s="23"/>
      <c r="C100" s="23"/>
      <c r="D100" s="26"/>
      <c r="E100" s="26"/>
      <c r="F100" s="23"/>
      <c r="G100" s="23" t="str">
        <f t="shared" si="4"/>
        <v/>
      </c>
      <c r="H100" s="23" t="str">
        <f t="shared" si="5"/>
        <v/>
      </c>
      <c r="I100" s="23"/>
    </row>
    <row r="101" spans="1:9" x14ac:dyDescent="0.25">
      <c r="A101" s="23"/>
      <c r="B101" s="23"/>
      <c r="C101" s="23"/>
      <c r="D101" s="26"/>
      <c r="E101" s="26"/>
      <c r="F101" s="23"/>
      <c r="G101" s="23" t="str">
        <f t="shared" ref="G101:G132" si="6">IF(OR($D101="",$E101=""),"",ROUND((E101-D101)*1440,0))</f>
        <v/>
      </c>
      <c r="H101" s="23" t="str">
        <f t="shared" ref="H101:H132" si="7">IF(G101="","",IF(G101&lt;=5,"On Target",IF(G101&lt;=30,"Delayed","Cold Risk")))</f>
        <v/>
      </c>
      <c r="I101" s="23"/>
    </row>
    <row r="102" spans="1:9" x14ac:dyDescent="0.25">
      <c r="A102" s="23"/>
      <c r="B102" s="23"/>
      <c r="C102" s="23"/>
      <c r="D102" s="26"/>
      <c r="E102" s="26"/>
      <c r="F102" s="23"/>
      <c r="G102" s="23" t="str">
        <f t="shared" si="6"/>
        <v/>
      </c>
      <c r="H102" s="23" t="str">
        <f t="shared" si="7"/>
        <v/>
      </c>
      <c r="I102" s="23"/>
    </row>
    <row r="103" spans="1:9" x14ac:dyDescent="0.25">
      <c r="A103" s="23"/>
      <c r="B103" s="23"/>
      <c r="C103" s="23"/>
      <c r="D103" s="26"/>
      <c r="E103" s="26"/>
      <c r="F103" s="23"/>
      <c r="G103" s="23" t="str">
        <f t="shared" si="6"/>
        <v/>
      </c>
      <c r="H103" s="23" t="str">
        <f t="shared" si="7"/>
        <v/>
      </c>
      <c r="I103" s="23"/>
    </row>
    <row r="104" spans="1:9" x14ac:dyDescent="0.25">
      <c r="A104" s="23"/>
      <c r="B104" s="23"/>
      <c r="C104" s="23"/>
      <c r="D104" s="26"/>
      <c r="E104" s="26"/>
      <c r="F104" s="23"/>
      <c r="G104" s="23" t="str">
        <f t="shared" si="6"/>
        <v/>
      </c>
      <c r="H104" s="23" t="str">
        <f t="shared" si="7"/>
        <v/>
      </c>
      <c r="I104" s="23"/>
    </row>
    <row r="105" spans="1:9" x14ac:dyDescent="0.25">
      <c r="A105" s="23"/>
      <c r="B105" s="23"/>
      <c r="C105" s="23"/>
      <c r="D105" s="26"/>
      <c r="E105" s="26"/>
      <c r="F105" s="23"/>
      <c r="G105" s="23" t="str">
        <f t="shared" si="6"/>
        <v/>
      </c>
      <c r="H105" s="23" t="str">
        <f t="shared" si="7"/>
        <v/>
      </c>
      <c r="I105" s="23"/>
    </row>
    <row r="106" spans="1:9" x14ac:dyDescent="0.25">
      <c r="A106" s="23"/>
      <c r="B106" s="23"/>
      <c r="C106" s="23"/>
      <c r="D106" s="26"/>
      <c r="E106" s="26"/>
      <c r="F106" s="23"/>
      <c r="G106" s="23" t="str">
        <f t="shared" si="6"/>
        <v/>
      </c>
      <c r="H106" s="23" t="str">
        <f t="shared" si="7"/>
        <v/>
      </c>
      <c r="I106" s="23"/>
    </row>
    <row r="107" spans="1:9" x14ac:dyDescent="0.25">
      <c r="A107" s="23"/>
      <c r="B107" s="23"/>
      <c r="C107" s="23"/>
      <c r="D107" s="26"/>
      <c r="E107" s="26"/>
      <c r="F107" s="23"/>
      <c r="G107" s="23" t="str">
        <f t="shared" si="6"/>
        <v/>
      </c>
      <c r="H107" s="23" t="str">
        <f t="shared" si="7"/>
        <v/>
      </c>
      <c r="I107" s="23"/>
    </row>
    <row r="108" spans="1:9" x14ac:dyDescent="0.25">
      <c r="A108" s="23"/>
      <c r="B108" s="23"/>
      <c r="C108" s="23"/>
      <c r="D108" s="26"/>
      <c r="E108" s="26"/>
      <c r="F108" s="23"/>
      <c r="G108" s="23" t="str">
        <f t="shared" si="6"/>
        <v/>
      </c>
      <c r="H108" s="23" t="str">
        <f t="shared" si="7"/>
        <v/>
      </c>
      <c r="I108" s="23"/>
    </row>
    <row r="109" spans="1:9" x14ac:dyDescent="0.25">
      <c r="A109" s="23"/>
      <c r="B109" s="23"/>
      <c r="C109" s="23"/>
      <c r="D109" s="26"/>
      <c r="E109" s="26"/>
      <c r="F109" s="23"/>
      <c r="G109" s="23" t="str">
        <f t="shared" si="6"/>
        <v/>
      </c>
      <c r="H109" s="23" t="str">
        <f t="shared" si="7"/>
        <v/>
      </c>
      <c r="I109" s="23"/>
    </row>
    <row r="110" spans="1:9" x14ac:dyDescent="0.25">
      <c r="A110" s="23"/>
      <c r="B110" s="23"/>
      <c r="C110" s="23"/>
      <c r="D110" s="26"/>
      <c r="E110" s="26"/>
      <c r="F110" s="23"/>
      <c r="G110" s="23" t="str">
        <f t="shared" si="6"/>
        <v/>
      </c>
      <c r="H110" s="23" t="str">
        <f t="shared" si="7"/>
        <v/>
      </c>
      <c r="I110" s="23"/>
    </row>
    <row r="111" spans="1:9" x14ac:dyDescent="0.25">
      <c r="A111" s="23"/>
      <c r="B111" s="23"/>
      <c r="C111" s="23"/>
      <c r="D111" s="26"/>
      <c r="E111" s="26"/>
      <c r="F111" s="23"/>
      <c r="G111" s="23" t="str">
        <f t="shared" si="6"/>
        <v/>
      </c>
      <c r="H111" s="23" t="str">
        <f t="shared" si="7"/>
        <v/>
      </c>
      <c r="I111" s="23"/>
    </row>
    <row r="112" spans="1:9" x14ac:dyDescent="0.25">
      <c r="A112" s="23"/>
      <c r="B112" s="23"/>
      <c r="C112" s="23"/>
      <c r="D112" s="26"/>
      <c r="E112" s="26"/>
      <c r="F112" s="23"/>
      <c r="G112" s="23" t="str">
        <f t="shared" si="6"/>
        <v/>
      </c>
      <c r="H112" s="23" t="str">
        <f t="shared" si="7"/>
        <v/>
      </c>
      <c r="I112" s="23"/>
    </row>
    <row r="113" spans="1:9" x14ac:dyDescent="0.25">
      <c r="A113" s="23"/>
      <c r="B113" s="23"/>
      <c r="C113" s="23"/>
      <c r="D113" s="26"/>
      <c r="E113" s="26"/>
      <c r="F113" s="23"/>
      <c r="G113" s="23" t="str">
        <f t="shared" si="6"/>
        <v/>
      </c>
      <c r="H113" s="23" t="str">
        <f t="shared" si="7"/>
        <v/>
      </c>
      <c r="I113" s="23"/>
    </row>
    <row r="114" spans="1:9" x14ac:dyDescent="0.25">
      <c r="A114" s="23"/>
      <c r="B114" s="23"/>
      <c r="C114" s="23"/>
      <c r="D114" s="26"/>
      <c r="E114" s="26"/>
      <c r="F114" s="23"/>
      <c r="G114" s="23" t="str">
        <f t="shared" si="6"/>
        <v/>
      </c>
      <c r="H114" s="23" t="str">
        <f t="shared" si="7"/>
        <v/>
      </c>
      <c r="I114" s="23"/>
    </row>
    <row r="115" spans="1:9" x14ac:dyDescent="0.25">
      <c r="A115" s="23"/>
      <c r="B115" s="23"/>
      <c r="C115" s="23"/>
      <c r="D115" s="26"/>
      <c r="E115" s="26"/>
      <c r="F115" s="23"/>
      <c r="G115" s="23" t="str">
        <f t="shared" si="6"/>
        <v/>
      </c>
      <c r="H115" s="23" t="str">
        <f t="shared" si="7"/>
        <v/>
      </c>
      <c r="I115" s="23"/>
    </row>
    <row r="116" spans="1:9" x14ac:dyDescent="0.25">
      <c r="A116" s="23"/>
      <c r="B116" s="23"/>
      <c r="C116" s="23"/>
      <c r="D116" s="26"/>
      <c r="E116" s="26"/>
      <c r="F116" s="23"/>
      <c r="G116" s="23" t="str">
        <f t="shared" si="6"/>
        <v/>
      </c>
      <c r="H116" s="23" t="str">
        <f t="shared" si="7"/>
        <v/>
      </c>
      <c r="I116" s="23"/>
    </row>
    <row r="117" spans="1:9" x14ac:dyDescent="0.25">
      <c r="A117" s="23"/>
      <c r="B117" s="23"/>
      <c r="C117" s="23"/>
      <c r="D117" s="26"/>
      <c r="E117" s="26"/>
      <c r="F117" s="23"/>
      <c r="G117" s="23" t="str">
        <f t="shared" si="6"/>
        <v/>
      </c>
      <c r="H117" s="23" t="str">
        <f t="shared" si="7"/>
        <v/>
      </c>
      <c r="I117" s="23"/>
    </row>
    <row r="118" spans="1:9" x14ac:dyDescent="0.25">
      <c r="A118" s="23"/>
      <c r="B118" s="23"/>
      <c r="C118" s="23"/>
      <c r="D118" s="26"/>
      <c r="E118" s="26"/>
      <c r="F118" s="23"/>
      <c r="G118" s="23" t="str">
        <f t="shared" si="6"/>
        <v/>
      </c>
      <c r="H118" s="23" t="str">
        <f t="shared" si="7"/>
        <v/>
      </c>
      <c r="I118" s="23"/>
    </row>
    <row r="119" spans="1:9" x14ac:dyDescent="0.25">
      <c r="A119" s="23"/>
      <c r="B119" s="23"/>
      <c r="C119" s="23"/>
      <c r="D119" s="26"/>
      <c r="E119" s="26"/>
      <c r="F119" s="23"/>
      <c r="G119" s="23" t="str">
        <f t="shared" si="6"/>
        <v/>
      </c>
      <c r="H119" s="23" t="str">
        <f t="shared" si="7"/>
        <v/>
      </c>
      <c r="I119" s="23"/>
    </row>
    <row r="120" spans="1:9" x14ac:dyDescent="0.25">
      <c r="A120" s="23"/>
      <c r="B120" s="23"/>
      <c r="C120" s="23"/>
      <c r="D120" s="26"/>
      <c r="E120" s="26"/>
      <c r="F120" s="23"/>
      <c r="G120" s="23" t="str">
        <f t="shared" si="6"/>
        <v/>
      </c>
      <c r="H120" s="23" t="str">
        <f t="shared" si="7"/>
        <v/>
      </c>
      <c r="I120" s="23"/>
    </row>
    <row r="121" spans="1:9" x14ac:dyDescent="0.25">
      <c r="A121" s="23"/>
      <c r="B121" s="23"/>
      <c r="C121" s="23"/>
      <c r="D121" s="26"/>
      <c r="E121" s="26"/>
      <c r="F121" s="23"/>
      <c r="G121" s="23" t="str">
        <f t="shared" si="6"/>
        <v/>
      </c>
      <c r="H121" s="23" t="str">
        <f t="shared" si="7"/>
        <v/>
      </c>
      <c r="I121" s="23"/>
    </row>
    <row r="122" spans="1:9" x14ac:dyDescent="0.25">
      <c r="A122" s="23"/>
      <c r="B122" s="23"/>
      <c r="C122" s="23"/>
      <c r="D122" s="26"/>
      <c r="E122" s="26"/>
      <c r="F122" s="23"/>
      <c r="G122" s="23" t="str">
        <f t="shared" si="6"/>
        <v/>
      </c>
      <c r="H122" s="23" t="str">
        <f t="shared" si="7"/>
        <v/>
      </c>
      <c r="I122" s="23"/>
    </row>
    <row r="123" spans="1:9" x14ac:dyDescent="0.25">
      <c r="A123" s="23"/>
      <c r="B123" s="23"/>
      <c r="C123" s="23"/>
      <c r="D123" s="26"/>
      <c r="E123" s="26"/>
      <c r="F123" s="23"/>
      <c r="G123" s="23" t="str">
        <f t="shared" si="6"/>
        <v/>
      </c>
      <c r="H123" s="23" t="str">
        <f t="shared" si="7"/>
        <v/>
      </c>
      <c r="I123" s="23"/>
    </row>
    <row r="124" spans="1:9" x14ac:dyDescent="0.25">
      <c r="A124" s="23"/>
      <c r="B124" s="23"/>
      <c r="C124" s="23"/>
      <c r="D124" s="26"/>
      <c r="E124" s="26"/>
      <c r="F124" s="23"/>
      <c r="G124" s="23" t="str">
        <f t="shared" si="6"/>
        <v/>
      </c>
      <c r="H124" s="23" t="str">
        <f t="shared" si="7"/>
        <v/>
      </c>
      <c r="I124" s="23"/>
    </row>
    <row r="125" spans="1:9" x14ac:dyDescent="0.25">
      <c r="A125" s="23"/>
      <c r="B125" s="23"/>
      <c r="C125" s="23"/>
      <c r="D125" s="26"/>
      <c r="E125" s="26"/>
      <c r="F125" s="23"/>
      <c r="G125" s="23" t="str">
        <f t="shared" si="6"/>
        <v/>
      </c>
      <c r="H125" s="23" t="str">
        <f t="shared" si="7"/>
        <v/>
      </c>
      <c r="I125" s="23"/>
    </row>
    <row r="126" spans="1:9" x14ac:dyDescent="0.25">
      <c r="A126" s="23"/>
      <c r="B126" s="23"/>
      <c r="C126" s="23"/>
      <c r="D126" s="26"/>
      <c r="E126" s="26"/>
      <c r="F126" s="23"/>
      <c r="G126" s="23" t="str">
        <f t="shared" si="6"/>
        <v/>
      </c>
      <c r="H126" s="23" t="str">
        <f t="shared" si="7"/>
        <v/>
      </c>
      <c r="I126" s="23"/>
    </row>
    <row r="127" spans="1:9" x14ac:dyDescent="0.25">
      <c r="A127" s="23"/>
      <c r="B127" s="23"/>
      <c r="C127" s="23"/>
      <c r="D127" s="26"/>
      <c r="E127" s="26"/>
      <c r="F127" s="23"/>
      <c r="G127" s="23" t="str">
        <f t="shared" si="6"/>
        <v/>
      </c>
      <c r="H127" s="23" t="str">
        <f t="shared" si="7"/>
        <v/>
      </c>
      <c r="I127" s="23"/>
    </row>
    <row r="128" spans="1:9" x14ac:dyDescent="0.25">
      <c r="A128" s="23"/>
      <c r="B128" s="23"/>
      <c r="C128" s="23"/>
      <c r="D128" s="26"/>
      <c r="E128" s="26"/>
      <c r="F128" s="23"/>
      <c r="G128" s="23" t="str">
        <f t="shared" si="6"/>
        <v/>
      </c>
      <c r="H128" s="23" t="str">
        <f t="shared" si="7"/>
        <v/>
      </c>
      <c r="I128" s="23"/>
    </row>
    <row r="129" spans="1:9" x14ac:dyDescent="0.25">
      <c r="A129" s="23"/>
      <c r="B129" s="23"/>
      <c r="C129" s="23"/>
      <c r="D129" s="26"/>
      <c r="E129" s="26"/>
      <c r="F129" s="23"/>
      <c r="G129" s="23" t="str">
        <f t="shared" si="6"/>
        <v/>
      </c>
      <c r="H129" s="23" t="str">
        <f t="shared" si="7"/>
        <v/>
      </c>
      <c r="I129" s="23"/>
    </row>
    <row r="130" spans="1:9" x14ac:dyDescent="0.25">
      <c r="A130" s="23"/>
      <c r="B130" s="23"/>
      <c r="C130" s="23"/>
      <c r="D130" s="26"/>
      <c r="E130" s="26"/>
      <c r="F130" s="23"/>
      <c r="G130" s="23" t="str">
        <f t="shared" si="6"/>
        <v/>
      </c>
      <c r="H130" s="23" t="str">
        <f t="shared" si="7"/>
        <v/>
      </c>
      <c r="I130" s="23"/>
    </row>
    <row r="131" spans="1:9" x14ac:dyDescent="0.25">
      <c r="A131" s="23"/>
      <c r="B131" s="23"/>
      <c r="C131" s="23"/>
      <c r="D131" s="26"/>
      <c r="E131" s="26"/>
      <c r="F131" s="23"/>
      <c r="G131" s="23" t="str">
        <f t="shared" si="6"/>
        <v/>
      </c>
      <c r="H131" s="23" t="str">
        <f t="shared" si="7"/>
        <v/>
      </c>
      <c r="I131" s="23"/>
    </row>
    <row r="132" spans="1:9" x14ac:dyDescent="0.25">
      <c r="A132" s="23"/>
      <c r="B132" s="23"/>
      <c r="C132" s="23"/>
      <c r="D132" s="26"/>
      <c r="E132" s="26"/>
      <c r="F132" s="23"/>
      <c r="G132" s="23" t="str">
        <f t="shared" si="6"/>
        <v/>
      </c>
      <c r="H132" s="23" t="str">
        <f t="shared" si="7"/>
        <v/>
      </c>
      <c r="I132" s="23"/>
    </row>
    <row r="133" spans="1:9" x14ac:dyDescent="0.25">
      <c r="A133" s="23"/>
      <c r="B133" s="23"/>
      <c r="C133" s="23"/>
      <c r="D133" s="26"/>
      <c r="E133" s="26"/>
      <c r="F133" s="23"/>
      <c r="G133" s="23" t="str">
        <f t="shared" ref="G133:G164" si="8">IF(OR($D133="",$E133=""),"",ROUND((E133-D133)*1440,0))</f>
        <v/>
      </c>
      <c r="H133" s="23" t="str">
        <f t="shared" ref="H133:H164" si="9">IF(G133="","",IF(G133&lt;=5,"On Target",IF(G133&lt;=30,"Delayed","Cold Risk")))</f>
        <v/>
      </c>
      <c r="I133" s="23"/>
    </row>
    <row r="134" spans="1:9" x14ac:dyDescent="0.25">
      <c r="A134" s="23"/>
      <c r="B134" s="23"/>
      <c r="C134" s="23"/>
      <c r="D134" s="26"/>
      <c r="E134" s="26"/>
      <c r="F134" s="23"/>
      <c r="G134" s="23" t="str">
        <f t="shared" si="8"/>
        <v/>
      </c>
      <c r="H134" s="23" t="str">
        <f t="shared" si="9"/>
        <v/>
      </c>
      <c r="I134" s="23"/>
    </row>
    <row r="135" spans="1:9" x14ac:dyDescent="0.25">
      <c r="A135" s="23"/>
      <c r="B135" s="23"/>
      <c r="C135" s="23"/>
      <c r="D135" s="26"/>
      <c r="E135" s="26"/>
      <c r="F135" s="23"/>
      <c r="G135" s="23" t="str">
        <f t="shared" si="8"/>
        <v/>
      </c>
      <c r="H135" s="23" t="str">
        <f t="shared" si="9"/>
        <v/>
      </c>
      <c r="I135" s="23"/>
    </row>
    <row r="136" spans="1:9" x14ac:dyDescent="0.25">
      <c r="A136" s="23"/>
      <c r="B136" s="23"/>
      <c r="C136" s="23"/>
      <c r="D136" s="26"/>
      <c r="E136" s="26"/>
      <c r="F136" s="23"/>
      <c r="G136" s="23" t="str">
        <f t="shared" si="8"/>
        <v/>
      </c>
      <c r="H136" s="23" t="str">
        <f t="shared" si="9"/>
        <v/>
      </c>
      <c r="I136" s="23"/>
    </row>
    <row r="137" spans="1:9" x14ac:dyDescent="0.25">
      <c r="A137" s="23"/>
      <c r="B137" s="23"/>
      <c r="C137" s="23"/>
      <c r="D137" s="26"/>
      <c r="E137" s="26"/>
      <c r="F137" s="23"/>
      <c r="G137" s="23" t="str">
        <f t="shared" si="8"/>
        <v/>
      </c>
      <c r="H137" s="23" t="str">
        <f t="shared" si="9"/>
        <v/>
      </c>
      <c r="I137" s="23"/>
    </row>
    <row r="138" spans="1:9" x14ac:dyDescent="0.25">
      <c r="A138" s="23"/>
      <c r="B138" s="23"/>
      <c r="C138" s="23"/>
      <c r="D138" s="26"/>
      <c r="E138" s="26"/>
      <c r="F138" s="23"/>
      <c r="G138" s="23" t="str">
        <f t="shared" si="8"/>
        <v/>
      </c>
      <c r="H138" s="23" t="str">
        <f t="shared" si="9"/>
        <v/>
      </c>
      <c r="I138" s="23"/>
    </row>
    <row r="139" spans="1:9" x14ac:dyDescent="0.25">
      <c r="A139" s="23"/>
      <c r="B139" s="23"/>
      <c r="C139" s="23"/>
      <c r="D139" s="26"/>
      <c r="E139" s="26"/>
      <c r="F139" s="23"/>
      <c r="G139" s="23" t="str">
        <f t="shared" si="8"/>
        <v/>
      </c>
      <c r="H139" s="23" t="str">
        <f t="shared" si="9"/>
        <v/>
      </c>
      <c r="I139" s="23"/>
    </row>
    <row r="140" spans="1:9" x14ac:dyDescent="0.25">
      <c r="A140" s="23"/>
      <c r="B140" s="23"/>
      <c r="C140" s="23"/>
      <c r="D140" s="26"/>
      <c r="E140" s="26"/>
      <c r="F140" s="23"/>
      <c r="G140" s="23" t="str">
        <f t="shared" si="8"/>
        <v/>
      </c>
      <c r="H140" s="23" t="str">
        <f t="shared" si="9"/>
        <v/>
      </c>
      <c r="I140" s="23"/>
    </row>
    <row r="141" spans="1:9" x14ac:dyDescent="0.25">
      <c r="A141" s="23"/>
      <c r="B141" s="23"/>
      <c r="C141" s="23"/>
      <c r="D141" s="26"/>
      <c r="E141" s="26"/>
      <c r="F141" s="23"/>
      <c r="G141" s="23" t="str">
        <f t="shared" si="8"/>
        <v/>
      </c>
      <c r="H141" s="23" t="str">
        <f t="shared" si="9"/>
        <v/>
      </c>
      <c r="I141" s="23"/>
    </row>
    <row r="142" spans="1:9" x14ac:dyDescent="0.25">
      <c r="A142" s="23"/>
      <c r="B142" s="23"/>
      <c r="C142" s="23"/>
      <c r="D142" s="26"/>
      <c r="E142" s="26"/>
      <c r="F142" s="23"/>
      <c r="G142" s="23" t="str">
        <f t="shared" si="8"/>
        <v/>
      </c>
      <c r="H142" s="23" t="str">
        <f t="shared" si="9"/>
        <v/>
      </c>
      <c r="I142" s="23"/>
    </row>
    <row r="143" spans="1:9" x14ac:dyDescent="0.25">
      <c r="A143" s="23"/>
      <c r="B143" s="23"/>
      <c r="C143" s="23"/>
      <c r="D143" s="26"/>
      <c r="E143" s="26"/>
      <c r="F143" s="23"/>
      <c r="G143" s="23" t="str">
        <f t="shared" si="8"/>
        <v/>
      </c>
      <c r="H143" s="23" t="str">
        <f t="shared" si="9"/>
        <v/>
      </c>
      <c r="I143" s="23"/>
    </row>
    <row r="144" spans="1:9" x14ac:dyDescent="0.25">
      <c r="A144" s="23"/>
      <c r="B144" s="23"/>
      <c r="C144" s="23"/>
      <c r="D144" s="26"/>
      <c r="E144" s="26"/>
      <c r="F144" s="23"/>
      <c r="G144" s="23" t="str">
        <f t="shared" si="8"/>
        <v/>
      </c>
      <c r="H144" s="23" t="str">
        <f t="shared" si="9"/>
        <v/>
      </c>
      <c r="I144" s="23"/>
    </row>
    <row r="145" spans="1:9" x14ac:dyDescent="0.25">
      <c r="A145" s="23"/>
      <c r="B145" s="23"/>
      <c r="C145" s="23"/>
      <c r="D145" s="26"/>
      <c r="E145" s="26"/>
      <c r="F145" s="23"/>
      <c r="G145" s="23" t="str">
        <f t="shared" si="8"/>
        <v/>
      </c>
      <c r="H145" s="23" t="str">
        <f t="shared" si="9"/>
        <v/>
      </c>
      <c r="I145" s="23"/>
    </row>
    <row r="146" spans="1:9" x14ac:dyDescent="0.25">
      <c r="A146" s="23"/>
      <c r="B146" s="23"/>
      <c r="C146" s="23"/>
      <c r="D146" s="26"/>
      <c r="E146" s="26"/>
      <c r="F146" s="23"/>
      <c r="G146" s="23" t="str">
        <f t="shared" si="8"/>
        <v/>
      </c>
      <c r="H146" s="23" t="str">
        <f t="shared" si="9"/>
        <v/>
      </c>
      <c r="I146" s="23"/>
    </row>
    <row r="147" spans="1:9" x14ac:dyDescent="0.25">
      <c r="A147" s="23"/>
      <c r="B147" s="23"/>
      <c r="C147" s="23"/>
      <c r="D147" s="26"/>
      <c r="E147" s="26"/>
      <c r="F147" s="23"/>
      <c r="G147" s="23" t="str">
        <f t="shared" si="8"/>
        <v/>
      </c>
      <c r="H147" s="23" t="str">
        <f t="shared" si="9"/>
        <v/>
      </c>
      <c r="I147" s="23"/>
    </row>
    <row r="148" spans="1:9" x14ac:dyDescent="0.25">
      <c r="A148" s="23"/>
      <c r="B148" s="23"/>
      <c r="C148" s="23"/>
      <c r="D148" s="26"/>
      <c r="E148" s="26"/>
      <c r="F148" s="23"/>
      <c r="G148" s="23" t="str">
        <f t="shared" si="8"/>
        <v/>
      </c>
      <c r="H148" s="23" t="str">
        <f t="shared" si="9"/>
        <v/>
      </c>
      <c r="I148" s="23"/>
    </row>
    <row r="149" spans="1:9" x14ac:dyDescent="0.25">
      <c r="A149" s="23"/>
      <c r="B149" s="23"/>
      <c r="C149" s="23"/>
      <c r="D149" s="26"/>
      <c r="E149" s="26"/>
      <c r="F149" s="23"/>
      <c r="G149" s="23" t="str">
        <f t="shared" si="8"/>
        <v/>
      </c>
      <c r="H149" s="23" t="str">
        <f t="shared" si="9"/>
        <v/>
      </c>
      <c r="I149" s="23"/>
    </row>
    <row r="150" spans="1:9" x14ac:dyDescent="0.25">
      <c r="A150" s="23"/>
      <c r="B150" s="23"/>
      <c r="C150" s="23"/>
      <c r="D150" s="26"/>
      <c r="E150" s="26"/>
      <c r="F150" s="23"/>
      <c r="G150" s="23" t="str">
        <f t="shared" si="8"/>
        <v/>
      </c>
      <c r="H150" s="23" t="str">
        <f t="shared" si="9"/>
        <v/>
      </c>
      <c r="I150" s="23"/>
    </row>
    <row r="151" spans="1:9" x14ac:dyDescent="0.25">
      <c r="A151" s="23"/>
      <c r="B151" s="23"/>
      <c r="C151" s="23"/>
      <c r="D151" s="26"/>
      <c r="E151" s="26"/>
      <c r="F151" s="23"/>
      <c r="G151" s="23" t="str">
        <f t="shared" si="8"/>
        <v/>
      </c>
      <c r="H151" s="23" t="str">
        <f t="shared" si="9"/>
        <v/>
      </c>
      <c r="I151" s="23"/>
    </row>
    <row r="152" spans="1:9" x14ac:dyDescent="0.25">
      <c r="A152" s="23"/>
      <c r="B152" s="23"/>
      <c r="C152" s="23"/>
      <c r="D152" s="26"/>
      <c r="E152" s="26"/>
      <c r="F152" s="23"/>
      <c r="G152" s="23" t="str">
        <f t="shared" si="8"/>
        <v/>
      </c>
      <c r="H152" s="23" t="str">
        <f t="shared" si="9"/>
        <v/>
      </c>
      <c r="I152" s="23"/>
    </row>
    <row r="153" spans="1:9" x14ac:dyDescent="0.25">
      <c r="A153" s="23"/>
      <c r="B153" s="23"/>
      <c r="C153" s="23"/>
      <c r="D153" s="26"/>
      <c r="E153" s="26"/>
      <c r="F153" s="23"/>
      <c r="G153" s="23" t="str">
        <f t="shared" si="8"/>
        <v/>
      </c>
      <c r="H153" s="23" t="str">
        <f t="shared" si="9"/>
        <v/>
      </c>
      <c r="I153" s="23"/>
    </row>
    <row r="154" spans="1:9" x14ac:dyDescent="0.25">
      <c r="A154" s="23"/>
      <c r="B154" s="23"/>
      <c r="C154" s="23"/>
      <c r="D154" s="26"/>
      <c r="E154" s="26"/>
      <c r="F154" s="23"/>
      <c r="G154" s="23" t="str">
        <f t="shared" si="8"/>
        <v/>
      </c>
      <c r="H154" s="23" t="str">
        <f t="shared" si="9"/>
        <v/>
      </c>
      <c r="I154" s="23"/>
    </row>
    <row r="155" spans="1:9" x14ac:dyDescent="0.25">
      <c r="A155" s="23"/>
      <c r="B155" s="23"/>
      <c r="C155" s="23"/>
      <c r="D155" s="26"/>
      <c r="E155" s="26"/>
      <c r="F155" s="23"/>
      <c r="G155" s="23" t="str">
        <f t="shared" si="8"/>
        <v/>
      </c>
      <c r="H155" s="23" t="str">
        <f t="shared" si="9"/>
        <v/>
      </c>
      <c r="I155" s="23"/>
    </row>
    <row r="156" spans="1:9" x14ac:dyDescent="0.25">
      <c r="A156" s="23"/>
      <c r="B156" s="23"/>
      <c r="C156" s="23"/>
      <c r="D156" s="26"/>
      <c r="E156" s="26"/>
      <c r="F156" s="23"/>
      <c r="G156" s="23" t="str">
        <f t="shared" si="8"/>
        <v/>
      </c>
      <c r="H156" s="23" t="str">
        <f t="shared" si="9"/>
        <v/>
      </c>
      <c r="I156" s="23"/>
    </row>
    <row r="157" spans="1:9" x14ac:dyDescent="0.25">
      <c r="A157" s="23"/>
      <c r="B157" s="23"/>
      <c r="C157" s="23"/>
      <c r="D157" s="26"/>
      <c r="E157" s="26"/>
      <c r="F157" s="23"/>
      <c r="G157" s="23" t="str">
        <f t="shared" si="8"/>
        <v/>
      </c>
      <c r="H157" s="23" t="str">
        <f t="shared" si="9"/>
        <v/>
      </c>
      <c r="I157" s="23"/>
    </row>
    <row r="158" spans="1:9" x14ac:dyDescent="0.25">
      <c r="A158" s="23"/>
      <c r="B158" s="23"/>
      <c r="C158" s="23"/>
      <c r="D158" s="26"/>
      <c r="E158" s="26"/>
      <c r="F158" s="23"/>
      <c r="G158" s="23" t="str">
        <f t="shared" si="8"/>
        <v/>
      </c>
      <c r="H158" s="23" t="str">
        <f t="shared" si="9"/>
        <v/>
      </c>
      <c r="I158" s="23"/>
    </row>
    <row r="159" spans="1:9" x14ac:dyDescent="0.25">
      <c r="A159" s="23"/>
      <c r="B159" s="23"/>
      <c r="C159" s="23"/>
      <c r="D159" s="26"/>
      <c r="E159" s="26"/>
      <c r="F159" s="23"/>
      <c r="G159" s="23" t="str">
        <f t="shared" si="8"/>
        <v/>
      </c>
      <c r="H159" s="23" t="str">
        <f t="shared" si="9"/>
        <v/>
      </c>
      <c r="I159" s="23"/>
    </row>
    <row r="160" spans="1:9" x14ac:dyDescent="0.25">
      <c r="A160" s="23"/>
      <c r="B160" s="23"/>
      <c r="C160" s="23"/>
      <c r="D160" s="26"/>
      <c r="E160" s="26"/>
      <c r="F160" s="23"/>
      <c r="G160" s="23" t="str">
        <f t="shared" si="8"/>
        <v/>
      </c>
      <c r="H160" s="23" t="str">
        <f t="shared" si="9"/>
        <v/>
      </c>
      <c r="I160" s="23"/>
    </row>
    <row r="161" spans="1:9" x14ac:dyDescent="0.25">
      <c r="A161" s="23"/>
      <c r="B161" s="23"/>
      <c r="C161" s="23"/>
      <c r="D161" s="26"/>
      <c r="E161" s="26"/>
      <c r="F161" s="23"/>
      <c r="G161" s="23" t="str">
        <f t="shared" si="8"/>
        <v/>
      </c>
      <c r="H161" s="23" t="str">
        <f t="shared" si="9"/>
        <v/>
      </c>
      <c r="I161" s="23"/>
    </row>
    <row r="162" spans="1:9" x14ac:dyDescent="0.25">
      <c r="A162" s="23"/>
      <c r="B162" s="23"/>
      <c r="C162" s="23"/>
      <c r="D162" s="26"/>
      <c r="E162" s="26"/>
      <c r="F162" s="23"/>
      <c r="G162" s="23" t="str">
        <f t="shared" si="8"/>
        <v/>
      </c>
      <c r="H162" s="23" t="str">
        <f t="shared" si="9"/>
        <v/>
      </c>
      <c r="I162" s="23"/>
    </row>
    <row r="163" spans="1:9" x14ac:dyDescent="0.25">
      <c r="A163" s="23"/>
      <c r="B163" s="23"/>
      <c r="C163" s="23"/>
      <c r="D163" s="26"/>
      <c r="E163" s="26"/>
      <c r="F163" s="23"/>
      <c r="G163" s="23" t="str">
        <f t="shared" si="8"/>
        <v/>
      </c>
      <c r="H163" s="23" t="str">
        <f t="shared" si="9"/>
        <v/>
      </c>
      <c r="I163" s="23"/>
    </row>
    <row r="164" spans="1:9" x14ac:dyDescent="0.25">
      <c r="A164" s="23"/>
      <c r="B164" s="23"/>
      <c r="C164" s="23"/>
      <c r="D164" s="26"/>
      <c r="E164" s="26"/>
      <c r="F164" s="23"/>
      <c r="G164" s="23" t="str">
        <f t="shared" si="8"/>
        <v/>
      </c>
      <c r="H164" s="23" t="str">
        <f t="shared" si="9"/>
        <v/>
      </c>
      <c r="I164" s="23"/>
    </row>
    <row r="165" spans="1:9" x14ac:dyDescent="0.25">
      <c r="A165" s="23"/>
      <c r="B165" s="23"/>
      <c r="C165" s="23"/>
      <c r="D165" s="26"/>
      <c r="E165" s="26"/>
      <c r="F165" s="23"/>
      <c r="G165" s="23" t="str">
        <f t="shared" ref="G165:G200" si="10">IF(OR($D165="",$E165=""),"",ROUND((E165-D165)*1440,0))</f>
        <v/>
      </c>
      <c r="H165" s="23" t="str">
        <f t="shared" ref="H165:H196" si="11">IF(G165="","",IF(G165&lt;=5,"On Target",IF(G165&lt;=30,"Delayed","Cold Risk")))</f>
        <v/>
      </c>
      <c r="I165" s="23"/>
    </row>
    <row r="166" spans="1:9" x14ac:dyDescent="0.25">
      <c r="A166" s="23"/>
      <c r="B166" s="23"/>
      <c r="C166" s="23"/>
      <c r="D166" s="26"/>
      <c r="E166" s="26"/>
      <c r="F166" s="23"/>
      <c r="G166" s="23" t="str">
        <f t="shared" si="10"/>
        <v/>
      </c>
      <c r="H166" s="23" t="str">
        <f t="shared" si="11"/>
        <v/>
      </c>
      <c r="I166" s="23"/>
    </row>
    <row r="167" spans="1:9" x14ac:dyDescent="0.25">
      <c r="A167" s="23"/>
      <c r="B167" s="23"/>
      <c r="C167" s="23"/>
      <c r="D167" s="26"/>
      <c r="E167" s="26"/>
      <c r="F167" s="23"/>
      <c r="G167" s="23" t="str">
        <f t="shared" si="10"/>
        <v/>
      </c>
      <c r="H167" s="23" t="str">
        <f t="shared" si="11"/>
        <v/>
      </c>
      <c r="I167" s="23"/>
    </row>
    <row r="168" spans="1:9" x14ac:dyDescent="0.25">
      <c r="A168" s="23"/>
      <c r="B168" s="23"/>
      <c r="C168" s="23"/>
      <c r="D168" s="26"/>
      <c r="E168" s="26"/>
      <c r="F168" s="23"/>
      <c r="G168" s="23" t="str">
        <f t="shared" si="10"/>
        <v/>
      </c>
      <c r="H168" s="23" t="str">
        <f t="shared" si="11"/>
        <v/>
      </c>
      <c r="I168" s="23"/>
    </row>
    <row r="169" spans="1:9" x14ac:dyDescent="0.25">
      <c r="A169" s="23"/>
      <c r="B169" s="23"/>
      <c r="C169" s="23"/>
      <c r="D169" s="26"/>
      <c r="E169" s="26"/>
      <c r="F169" s="23"/>
      <c r="G169" s="23" t="str">
        <f t="shared" si="10"/>
        <v/>
      </c>
      <c r="H169" s="23" t="str">
        <f t="shared" si="11"/>
        <v/>
      </c>
      <c r="I169" s="23"/>
    </row>
    <row r="170" spans="1:9" x14ac:dyDescent="0.25">
      <c r="A170" s="23"/>
      <c r="B170" s="23"/>
      <c r="C170" s="23"/>
      <c r="D170" s="26"/>
      <c r="E170" s="26"/>
      <c r="F170" s="23"/>
      <c r="G170" s="23" t="str">
        <f t="shared" si="10"/>
        <v/>
      </c>
      <c r="H170" s="23" t="str">
        <f t="shared" si="11"/>
        <v/>
      </c>
      <c r="I170" s="23"/>
    </row>
    <row r="171" spans="1:9" x14ac:dyDescent="0.25">
      <c r="A171" s="23"/>
      <c r="B171" s="23"/>
      <c r="C171" s="23"/>
      <c r="D171" s="26"/>
      <c r="E171" s="26"/>
      <c r="F171" s="23"/>
      <c r="G171" s="23" t="str">
        <f t="shared" si="10"/>
        <v/>
      </c>
      <c r="H171" s="23" t="str">
        <f t="shared" si="11"/>
        <v/>
      </c>
      <c r="I171" s="23"/>
    </row>
    <row r="172" spans="1:9" x14ac:dyDescent="0.25">
      <c r="A172" s="23"/>
      <c r="B172" s="23"/>
      <c r="C172" s="23"/>
      <c r="D172" s="26"/>
      <c r="E172" s="26"/>
      <c r="F172" s="23"/>
      <c r="G172" s="23" t="str">
        <f t="shared" si="10"/>
        <v/>
      </c>
      <c r="H172" s="23" t="str">
        <f t="shared" si="11"/>
        <v/>
      </c>
      <c r="I172" s="23"/>
    </row>
    <row r="173" spans="1:9" x14ac:dyDescent="0.25">
      <c r="A173" s="23"/>
      <c r="B173" s="23"/>
      <c r="C173" s="23"/>
      <c r="D173" s="26"/>
      <c r="E173" s="26"/>
      <c r="F173" s="23"/>
      <c r="G173" s="23" t="str">
        <f t="shared" si="10"/>
        <v/>
      </c>
      <c r="H173" s="23" t="str">
        <f t="shared" si="11"/>
        <v/>
      </c>
      <c r="I173" s="23"/>
    </row>
    <row r="174" spans="1:9" x14ac:dyDescent="0.25">
      <c r="A174" s="23"/>
      <c r="B174" s="23"/>
      <c r="C174" s="23"/>
      <c r="D174" s="26"/>
      <c r="E174" s="26"/>
      <c r="F174" s="23"/>
      <c r="G174" s="23" t="str">
        <f t="shared" si="10"/>
        <v/>
      </c>
      <c r="H174" s="23" t="str">
        <f t="shared" si="11"/>
        <v/>
      </c>
      <c r="I174" s="23"/>
    </row>
    <row r="175" spans="1:9" x14ac:dyDescent="0.25">
      <c r="A175" s="23"/>
      <c r="B175" s="23"/>
      <c r="C175" s="23"/>
      <c r="D175" s="26"/>
      <c r="E175" s="26"/>
      <c r="F175" s="23"/>
      <c r="G175" s="23" t="str">
        <f t="shared" si="10"/>
        <v/>
      </c>
      <c r="H175" s="23" t="str">
        <f t="shared" si="11"/>
        <v/>
      </c>
      <c r="I175" s="23"/>
    </row>
    <row r="176" spans="1:9" x14ac:dyDescent="0.25">
      <c r="A176" s="23"/>
      <c r="B176" s="23"/>
      <c r="C176" s="23"/>
      <c r="D176" s="26"/>
      <c r="E176" s="26"/>
      <c r="F176" s="23"/>
      <c r="G176" s="23" t="str">
        <f t="shared" si="10"/>
        <v/>
      </c>
      <c r="H176" s="23" t="str">
        <f t="shared" si="11"/>
        <v/>
      </c>
      <c r="I176" s="23"/>
    </row>
    <row r="177" spans="1:9" x14ac:dyDescent="0.25">
      <c r="A177" s="23"/>
      <c r="B177" s="23"/>
      <c r="C177" s="23"/>
      <c r="D177" s="26"/>
      <c r="E177" s="26"/>
      <c r="F177" s="23"/>
      <c r="G177" s="23" t="str">
        <f t="shared" si="10"/>
        <v/>
      </c>
      <c r="H177" s="23" t="str">
        <f t="shared" si="11"/>
        <v/>
      </c>
      <c r="I177" s="23"/>
    </row>
    <row r="178" spans="1:9" x14ac:dyDescent="0.25">
      <c r="A178" s="23"/>
      <c r="B178" s="23"/>
      <c r="C178" s="23"/>
      <c r="D178" s="26"/>
      <c r="E178" s="26"/>
      <c r="F178" s="23"/>
      <c r="G178" s="23" t="str">
        <f t="shared" si="10"/>
        <v/>
      </c>
      <c r="H178" s="23" t="str">
        <f t="shared" si="11"/>
        <v/>
      </c>
      <c r="I178" s="23"/>
    </row>
    <row r="179" spans="1:9" x14ac:dyDescent="0.25">
      <c r="A179" s="23"/>
      <c r="B179" s="23"/>
      <c r="C179" s="23"/>
      <c r="D179" s="26"/>
      <c r="E179" s="26"/>
      <c r="F179" s="23"/>
      <c r="G179" s="23" t="str">
        <f t="shared" si="10"/>
        <v/>
      </c>
      <c r="H179" s="23" t="str">
        <f t="shared" si="11"/>
        <v/>
      </c>
      <c r="I179" s="23"/>
    </row>
    <row r="180" spans="1:9" x14ac:dyDescent="0.25">
      <c r="A180" s="23"/>
      <c r="B180" s="23"/>
      <c r="C180" s="23"/>
      <c r="D180" s="26"/>
      <c r="E180" s="26"/>
      <c r="F180" s="23"/>
      <c r="G180" s="23" t="str">
        <f t="shared" si="10"/>
        <v/>
      </c>
      <c r="H180" s="23" t="str">
        <f t="shared" si="11"/>
        <v/>
      </c>
      <c r="I180" s="23"/>
    </row>
    <row r="181" spans="1:9" x14ac:dyDescent="0.25">
      <c r="A181" s="23"/>
      <c r="B181" s="23"/>
      <c r="C181" s="23"/>
      <c r="D181" s="26"/>
      <c r="E181" s="26"/>
      <c r="F181" s="23"/>
      <c r="G181" s="23" t="str">
        <f t="shared" si="10"/>
        <v/>
      </c>
      <c r="H181" s="23" t="str">
        <f t="shared" si="11"/>
        <v/>
      </c>
      <c r="I181" s="23"/>
    </row>
    <row r="182" spans="1:9" x14ac:dyDescent="0.25">
      <c r="A182" s="23"/>
      <c r="B182" s="23"/>
      <c r="C182" s="23"/>
      <c r="D182" s="26"/>
      <c r="E182" s="26"/>
      <c r="F182" s="23"/>
      <c r="G182" s="23" t="str">
        <f t="shared" si="10"/>
        <v/>
      </c>
      <c r="H182" s="23" t="str">
        <f t="shared" si="11"/>
        <v/>
      </c>
      <c r="I182" s="23"/>
    </row>
    <row r="183" spans="1:9" x14ac:dyDescent="0.25">
      <c r="A183" s="23"/>
      <c r="B183" s="23"/>
      <c r="C183" s="23"/>
      <c r="D183" s="26"/>
      <c r="E183" s="26"/>
      <c r="F183" s="23"/>
      <c r="G183" s="23" t="str">
        <f t="shared" si="10"/>
        <v/>
      </c>
      <c r="H183" s="23" t="str">
        <f t="shared" si="11"/>
        <v/>
      </c>
      <c r="I183" s="23"/>
    </row>
    <row r="184" spans="1:9" x14ac:dyDescent="0.25">
      <c r="A184" s="23"/>
      <c r="B184" s="23"/>
      <c r="C184" s="23"/>
      <c r="D184" s="26"/>
      <c r="E184" s="26"/>
      <c r="F184" s="23"/>
      <c r="G184" s="23" t="str">
        <f t="shared" si="10"/>
        <v/>
      </c>
      <c r="H184" s="23" t="str">
        <f t="shared" si="11"/>
        <v/>
      </c>
      <c r="I184" s="23"/>
    </row>
    <row r="185" spans="1:9" x14ac:dyDescent="0.25">
      <c r="A185" s="23"/>
      <c r="B185" s="23"/>
      <c r="C185" s="23"/>
      <c r="D185" s="26"/>
      <c r="E185" s="26"/>
      <c r="F185" s="23"/>
      <c r="G185" s="23" t="str">
        <f t="shared" si="10"/>
        <v/>
      </c>
      <c r="H185" s="23" t="str">
        <f t="shared" si="11"/>
        <v/>
      </c>
      <c r="I185" s="23"/>
    </row>
    <row r="186" spans="1:9" x14ac:dyDescent="0.25">
      <c r="A186" s="23"/>
      <c r="B186" s="23"/>
      <c r="C186" s="23"/>
      <c r="D186" s="26"/>
      <c r="E186" s="26"/>
      <c r="F186" s="23"/>
      <c r="G186" s="23" t="str">
        <f t="shared" si="10"/>
        <v/>
      </c>
      <c r="H186" s="23" t="str">
        <f t="shared" si="11"/>
        <v/>
      </c>
      <c r="I186" s="23"/>
    </row>
    <row r="187" spans="1:9" x14ac:dyDescent="0.25">
      <c r="A187" s="23"/>
      <c r="B187" s="23"/>
      <c r="C187" s="23"/>
      <c r="D187" s="26"/>
      <c r="E187" s="26"/>
      <c r="F187" s="23"/>
      <c r="G187" s="23" t="str">
        <f t="shared" si="10"/>
        <v/>
      </c>
      <c r="H187" s="23" t="str">
        <f t="shared" si="11"/>
        <v/>
      </c>
      <c r="I187" s="23"/>
    </row>
    <row r="188" spans="1:9" x14ac:dyDescent="0.25">
      <c r="A188" s="23"/>
      <c r="B188" s="23"/>
      <c r="C188" s="23"/>
      <c r="D188" s="26"/>
      <c r="E188" s="26"/>
      <c r="F188" s="23"/>
      <c r="G188" s="23" t="str">
        <f t="shared" si="10"/>
        <v/>
      </c>
      <c r="H188" s="23" t="str">
        <f t="shared" si="11"/>
        <v/>
      </c>
      <c r="I188" s="23"/>
    </row>
    <row r="189" spans="1:9" x14ac:dyDescent="0.25">
      <c r="A189" s="23"/>
      <c r="B189" s="23"/>
      <c r="C189" s="23"/>
      <c r="D189" s="26"/>
      <c r="E189" s="26"/>
      <c r="F189" s="23"/>
      <c r="G189" s="23" t="str">
        <f t="shared" si="10"/>
        <v/>
      </c>
      <c r="H189" s="23" t="str">
        <f t="shared" si="11"/>
        <v/>
      </c>
      <c r="I189" s="23"/>
    </row>
    <row r="190" spans="1:9" x14ac:dyDescent="0.25">
      <c r="A190" s="23"/>
      <c r="B190" s="23"/>
      <c r="C190" s="23"/>
      <c r="D190" s="26"/>
      <c r="E190" s="26"/>
      <c r="F190" s="23"/>
      <c r="G190" s="23" t="str">
        <f t="shared" si="10"/>
        <v/>
      </c>
      <c r="H190" s="23" t="str">
        <f t="shared" si="11"/>
        <v/>
      </c>
      <c r="I190" s="23"/>
    </row>
    <row r="191" spans="1:9" x14ac:dyDescent="0.25">
      <c r="A191" s="23"/>
      <c r="B191" s="23"/>
      <c r="C191" s="23"/>
      <c r="D191" s="26"/>
      <c r="E191" s="26"/>
      <c r="F191" s="23"/>
      <c r="G191" s="23" t="str">
        <f t="shared" si="10"/>
        <v/>
      </c>
      <c r="H191" s="23" t="str">
        <f t="shared" si="11"/>
        <v/>
      </c>
      <c r="I191" s="23"/>
    </row>
    <row r="192" spans="1:9" x14ac:dyDescent="0.25">
      <c r="A192" s="23"/>
      <c r="B192" s="23"/>
      <c r="C192" s="23"/>
      <c r="D192" s="26"/>
      <c r="E192" s="26"/>
      <c r="F192" s="23"/>
      <c r="G192" s="23" t="str">
        <f t="shared" si="10"/>
        <v/>
      </c>
      <c r="H192" s="23" t="str">
        <f t="shared" si="11"/>
        <v/>
      </c>
      <c r="I192" s="23"/>
    </row>
    <row r="193" spans="1:9" x14ac:dyDescent="0.25">
      <c r="A193" s="23"/>
      <c r="B193" s="23"/>
      <c r="C193" s="23"/>
      <c r="D193" s="26"/>
      <c r="E193" s="26"/>
      <c r="F193" s="23"/>
      <c r="G193" s="23" t="str">
        <f t="shared" si="10"/>
        <v/>
      </c>
      <c r="H193" s="23" t="str">
        <f t="shared" si="11"/>
        <v/>
      </c>
      <c r="I193" s="23"/>
    </row>
    <row r="194" spans="1:9" x14ac:dyDescent="0.25">
      <c r="A194" s="23"/>
      <c r="B194" s="23"/>
      <c r="C194" s="23"/>
      <c r="D194" s="26"/>
      <c r="E194" s="26"/>
      <c r="F194" s="23"/>
      <c r="G194" s="23" t="str">
        <f t="shared" si="10"/>
        <v/>
      </c>
      <c r="H194" s="23" t="str">
        <f t="shared" si="11"/>
        <v/>
      </c>
      <c r="I194" s="23"/>
    </row>
    <row r="195" spans="1:9" x14ac:dyDescent="0.25">
      <c r="A195" s="23"/>
      <c r="B195" s="23"/>
      <c r="C195" s="23"/>
      <c r="D195" s="26"/>
      <c r="E195" s="26"/>
      <c r="F195" s="23"/>
      <c r="G195" s="23" t="str">
        <f t="shared" si="10"/>
        <v/>
      </c>
      <c r="H195" s="23" t="str">
        <f t="shared" si="11"/>
        <v/>
      </c>
      <c r="I195" s="23"/>
    </row>
    <row r="196" spans="1:9" x14ac:dyDescent="0.25">
      <c r="A196" s="23"/>
      <c r="B196" s="23"/>
      <c r="C196" s="23"/>
      <c r="D196" s="26"/>
      <c r="E196" s="26"/>
      <c r="F196" s="23"/>
      <c r="G196" s="23" t="str">
        <f t="shared" si="10"/>
        <v/>
      </c>
      <c r="H196" s="23" t="str">
        <f t="shared" si="11"/>
        <v/>
      </c>
      <c r="I196" s="23"/>
    </row>
    <row r="197" spans="1:9" x14ac:dyDescent="0.25">
      <c r="A197" s="23"/>
      <c r="B197" s="23"/>
      <c r="C197" s="23"/>
      <c r="D197" s="26"/>
      <c r="E197" s="26"/>
      <c r="F197" s="23"/>
      <c r="G197" s="23" t="str">
        <f t="shared" si="10"/>
        <v/>
      </c>
      <c r="H197" s="23" t="str">
        <f t="shared" ref="H197:H200" si="12">IF(G197="","",IF(G197&lt;=5,"On Target",IF(G197&lt;=30,"Delayed","Cold Risk")))</f>
        <v/>
      </c>
      <c r="I197" s="23"/>
    </row>
    <row r="198" spans="1:9" x14ac:dyDescent="0.25">
      <c r="A198" s="23"/>
      <c r="B198" s="23"/>
      <c r="C198" s="23"/>
      <c r="D198" s="26"/>
      <c r="E198" s="26"/>
      <c r="F198" s="23"/>
      <c r="G198" s="23" t="str">
        <f t="shared" si="10"/>
        <v/>
      </c>
      <c r="H198" s="23" t="str">
        <f t="shared" si="12"/>
        <v/>
      </c>
      <c r="I198" s="23"/>
    </row>
    <row r="199" spans="1:9" x14ac:dyDescent="0.25">
      <c r="A199" s="23"/>
      <c r="B199" s="23"/>
      <c r="C199" s="23"/>
      <c r="D199" s="26"/>
      <c r="E199" s="26"/>
      <c r="F199" s="23"/>
      <c r="G199" s="23" t="str">
        <f t="shared" si="10"/>
        <v/>
      </c>
      <c r="H199" s="23" t="str">
        <f t="shared" si="12"/>
        <v/>
      </c>
      <c r="I199" s="23"/>
    </row>
    <row r="200" spans="1:9" x14ac:dyDescent="0.25">
      <c r="A200" s="23"/>
      <c r="B200" s="23"/>
      <c r="C200" s="23"/>
      <c r="D200" s="26"/>
      <c r="E200" s="26"/>
      <c r="F200" s="23"/>
      <c r="G200" s="23" t="str">
        <f t="shared" si="10"/>
        <v/>
      </c>
      <c r="H200" s="23" t="str">
        <f t="shared" si="12"/>
        <v/>
      </c>
      <c r="I200" s="23"/>
    </row>
  </sheetData>
  <mergeCells count="2">
    <mergeCell ref="A1:I1"/>
    <mergeCell ref="A2:I2"/>
  </mergeCells>
  <conditionalFormatting sqref="H5:H200">
    <cfRule type="expression" dxfId="5" priority="2">
      <formula>$H5="On Target"</formula>
    </cfRule>
    <cfRule type="expression" dxfId="4" priority="3">
      <formula>$H5="Delayed"</formula>
    </cfRule>
    <cfRule type="expression" dxfId="3" priority="4">
      <formula>$H5="Cold Risk"</formula>
    </cfRule>
  </conditionalFormatting>
  <dataValidations count="3">
    <dataValidation type="list" allowBlank="1" sqref="C5:C200">
      <formula1>"Zillow,Realtor.com,PPC - Google,Referral,Website Form,Open House,Facebook Ads,Past Client DB,Other"</formula1>
      <formula2>0</formula2>
    </dataValidation>
    <dataValidation type="list" allowBlank="1" sqref="F5:F200">
      <formula1>"Maria Chen,James Okafor,Priya Nair,Tom Bennett,Lena Volkov"</formula1>
      <formula2>0</formula2>
    </dataValidation>
    <dataValidation type="list" allowBlank="1" sqref="I5:I200">
      <formula1>"Yes,No,Pending"</formula1>
      <formula2>0</formula2>
    </dataValidation>
  </dataValidations>
  <pageMargins left="0.3" right="0.3" top="0.4" bottom="0.4" header="0.511811023622047" footer="0.511811023622047"/>
  <pageSetup fitToHeight="0" orientation="landscape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4"/>
  <sheetViews>
    <sheetView showGridLines="0" zoomScaleNormal="100" workbookViewId="0">
      <selection sqref="A1:G1"/>
    </sheetView>
  </sheetViews>
  <sheetFormatPr defaultColWidth="8.7109375" defaultRowHeight="15" x14ac:dyDescent="0.25"/>
  <cols>
    <col min="1" max="1" width="3" customWidth="1"/>
    <col min="2" max="2" width="22" customWidth="1"/>
    <col min="3" max="3" width="16" customWidth="1"/>
    <col min="4" max="4" width="18" customWidth="1"/>
    <col min="5" max="6" width="16" customWidth="1"/>
    <col min="7" max="7" width="18" customWidth="1"/>
    <col min="8" max="8" width="3" customWidth="1"/>
  </cols>
  <sheetData>
    <row r="1" spans="1:7" ht="33.75" customHeight="1" x14ac:dyDescent="0.25">
      <c r="A1" s="51" t="s">
        <v>106</v>
      </c>
      <c r="B1" s="51"/>
      <c r="C1" s="51"/>
      <c r="D1" s="51"/>
      <c r="E1" s="51"/>
      <c r="F1" s="51"/>
      <c r="G1" s="51"/>
    </row>
    <row r="2" spans="1:7" ht="19.5" customHeight="1" x14ac:dyDescent="0.25">
      <c r="A2" s="52" t="s">
        <v>107</v>
      </c>
      <c r="B2" s="52"/>
      <c r="C2" s="52"/>
      <c r="D2" s="52"/>
      <c r="E2" s="52"/>
      <c r="F2" s="52"/>
      <c r="G2" s="52"/>
    </row>
    <row r="3" spans="1:7" ht="3.75" customHeight="1" x14ac:dyDescent="0.25">
      <c r="A3" s="1"/>
      <c r="B3" s="1"/>
      <c r="C3" s="1"/>
      <c r="D3" s="1"/>
      <c r="E3" s="1"/>
      <c r="F3" s="1"/>
      <c r="G3" s="1"/>
    </row>
    <row r="5" spans="1:7" ht="27.75" customHeight="1" x14ac:dyDescent="0.25">
      <c r="B5" s="9" t="s">
        <v>55</v>
      </c>
      <c r="C5" s="9" t="s">
        <v>108</v>
      </c>
      <c r="D5" s="9" t="s">
        <v>47</v>
      </c>
      <c r="E5" s="9" t="s">
        <v>109</v>
      </c>
      <c r="F5" s="9" t="s">
        <v>110</v>
      </c>
      <c r="G5" s="9" t="s">
        <v>49</v>
      </c>
    </row>
    <row r="6" spans="1:7" x14ac:dyDescent="0.25">
      <c r="B6" s="27" t="s">
        <v>73</v>
      </c>
      <c r="C6" s="19">
        <f>COUNTIF('Lead Log'!$C$5:$C$200,$B6)</f>
        <v>2</v>
      </c>
      <c r="D6" s="21">
        <f>IFERROR(ROUND(AVERAGEIF('Lead Log'!$C$5:$C$200,$B6,'Lead Log'!$G$5:$G$200),1),"")</f>
        <v>56.5</v>
      </c>
      <c r="E6" s="22">
        <f>IFERROR(COUNTIFS('Lead Log'!$C$5:$C$200,$B6,'Lead Log'!$G$5:$G$200,"&lt;=5")/C6,0)</f>
        <v>0</v>
      </c>
      <c r="F6" s="19">
        <f>COUNTIFS('Lead Log'!$C$5:$C$200,$B6,'Lead Log'!$I$5:$I$200,"Yes")</f>
        <v>1</v>
      </c>
      <c r="G6" s="28">
        <f t="shared" ref="G6:G14" si="0">IFERROR(F6/C6,0)</f>
        <v>0.5</v>
      </c>
    </row>
    <row r="7" spans="1:7" x14ac:dyDescent="0.25">
      <c r="B7" s="27" t="s">
        <v>62</v>
      </c>
      <c r="C7" s="19">
        <f>COUNTIF('Lead Log'!$C$5:$C$200,$B7)</f>
        <v>8</v>
      </c>
      <c r="D7" s="21">
        <f>IFERROR(ROUND(AVERAGEIF('Lead Log'!$C$5:$C$200,$B7,'Lead Log'!$G$5:$G$200),1),"")</f>
        <v>127</v>
      </c>
      <c r="E7" s="22">
        <f>IFERROR(COUNTIFS('Lead Log'!$C$5:$C$200,$B7,'Lead Log'!$G$5:$G$200,"&lt;=5")/C7,0)</f>
        <v>0</v>
      </c>
      <c r="F7" s="19">
        <f>COUNTIFS('Lead Log'!$C$5:$C$200,$B7,'Lead Log'!$I$5:$I$200,"Yes")</f>
        <v>3</v>
      </c>
      <c r="G7" s="28">
        <f t="shared" si="0"/>
        <v>0.375</v>
      </c>
    </row>
    <row r="8" spans="1:7" x14ac:dyDescent="0.25">
      <c r="B8" s="27" t="s">
        <v>87</v>
      </c>
      <c r="C8" s="19">
        <f>COUNTIF('Lead Log'!$C$5:$C$200,$B8)</f>
        <v>2</v>
      </c>
      <c r="D8" s="21">
        <f>IFERROR(ROUND(AVERAGEIF('Lead Log'!$C$5:$C$200,$B8,'Lead Log'!$G$5:$G$200),1),"")</f>
        <v>121</v>
      </c>
      <c r="E8" s="22">
        <f>IFERROR(COUNTIFS('Lead Log'!$C$5:$C$200,$B8,'Lead Log'!$G$5:$G$200,"&lt;=5")/C8,0)</f>
        <v>0.5</v>
      </c>
      <c r="F8" s="19">
        <f>COUNTIFS('Lead Log'!$C$5:$C$200,$B8,'Lead Log'!$I$5:$I$200,"Yes")</f>
        <v>0</v>
      </c>
      <c r="G8" s="28">
        <f t="shared" si="0"/>
        <v>0</v>
      </c>
    </row>
    <row r="9" spans="1:7" x14ac:dyDescent="0.25">
      <c r="B9" s="27" t="s">
        <v>70</v>
      </c>
      <c r="C9" s="19">
        <f>COUNTIF('Lead Log'!$C$5:$C$200,$B9)</f>
        <v>5</v>
      </c>
      <c r="D9" s="21">
        <f>IFERROR(ROUND(AVERAGEIF('Lead Log'!$C$5:$C$200,$B9,'Lead Log'!$G$5:$G$200),1),"")</f>
        <v>9.1999999999999993</v>
      </c>
      <c r="E9" s="22">
        <f>IFERROR(COUNTIFS('Lead Log'!$C$5:$C$200,$B9,'Lead Log'!$G$5:$G$200,"&lt;=5")/C9,0)</f>
        <v>0.4</v>
      </c>
      <c r="F9" s="19">
        <f>COUNTIFS('Lead Log'!$C$5:$C$200,$B9,'Lead Log'!$I$5:$I$200,"Yes")</f>
        <v>1</v>
      </c>
      <c r="G9" s="28">
        <f t="shared" si="0"/>
        <v>0.2</v>
      </c>
    </row>
    <row r="10" spans="1:7" x14ac:dyDescent="0.25">
      <c r="B10" s="27" t="s">
        <v>94</v>
      </c>
      <c r="C10" s="19">
        <f>COUNTIF('Lead Log'!$C$5:$C$200,$B10)</f>
        <v>4</v>
      </c>
      <c r="D10" s="21">
        <f>IFERROR(ROUND(AVERAGEIF('Lead Log'!$C$5:$C$200,$B10,'Lead Log'!$G$5:$G$200),1),"")</f>
        <v>45.5</v>
      </c>
      <c r="E10" s="22">
        <f>IFERROR(COUNTIFS('Lead Log'!$C$5:$C$200,$B10,'Lead Log'!$G$5:$G$200,"&lt;=5")/C10,0)</f>
        <v>0</v>
      </c>
      <c r="F10" s="19">
        <f>COUNTIFS('Lead Log'!$C$5:$C$200,$B10,'Lead Log'!$I$5:$I$200,"Yes")</f>
        <v>0</v>
      </c>
      <c r="G10" s="28">
        <f t="shared" si="0"/>
        <v>0</v>
      </c>
    </row>
    <row r="11" spans="1:7" x14ac:dyDescent="0.25">
      <c r="B11" s="27" t="s">
        <v>77</v>
      </c>
      <c r="C11" s="19">
        <f>COUNTIF('Lead Log'!$C$5:$C$200,$B11)</f>
        <v>5</v>
      </c>
      <c r="D11" s="21">
        <f>IFERROR(ROUND(AVERAGEIF('Lead Log'!$C$5:$C$200,$B11,'Lead Log'!$G$5:$G$200),1),"")</f>
        <v>50.4</v>
      </c>
      <c r="E11" s="22">
        <f>IFERROR(COUNTIFS('Lead Log'!$C$5:$C$200,$B11,'Lead Log'!$G$5:$G$200,"&lt;=5")/C11,0)</f>
        <v>0</v>
      </c>
      <c r="F11" s="19">
        <f>COUNTIFS('Lead Log'!$C$5:$C$200,$B11,'Lead Log'!$I$5:$I$200,"Yes")</f>
        <v>1</v>
      </c>
      <c r="G11" s="28">
        <f t="shared" si="0"/>
        <v>0.2</v>
      </c>
    </row>
    <row r="12" spans="1:7" x14ac:dyDescent="0.25">
      <c r="B12" s="27" t="s">
        <v>83</v>
      </c>
      <c r="C12" s="19">
        <f>COUNTIF('Lead Log'!$C$5:$C$200,$B12)</f>
        <v>2</v>
      </c>
      <c r="D12" s="21">
        <f>IFERROR(ROUND(AVERAGEIF('Lead Log'!$C$5:$C$200,$B12,'Lead Log'!$G$5:$G$200),1),"")</f>
        <v>226</v>
      </c>
      <c r="E12" s="22">
        <f>IFERROR(COUNTIFS('Lead Log'!$C$5:$C$200,$B12,'Lead Log'!$G$5:$G$200,"&lt;=5")/C12,0)</f>
        <v>0</v>
      </c>
      <c r="F12" s="19">
        <f>COUNTIFS('Lead Log'!$C$5:$C$200,$B12,'Lead Log'!$I$5:$I$200,"Yes")</f>
        <v>0</v>
      </c>
      <c r="G12" s="28">
        <f t="shared" si="0"/>
        <v>0</v>
      </c>
    </row>
    <row r="13" spans="1:7" x14ac:dyDescent="0.25">
      <c r="B13" s="27" t="s">
        <v>92</v>
      </c>
      <c r="C13" s="19">
        <f>COUNTIF('Lead Log'!$C$5:$C$200,$B13)</f>
        <v>2</v>
      </c>
      <c r="D13" s="21">
        <f>IFERROR(ROUND(AVERAGEIF('Lead Log'!$C$5:$C$200,$B13,'Lead Log'!$G$5:$G$200),1),"")</f>
        <v>11</v>
      </c>
      <c r="E13" s="22">
        <f>IFERROR(COUNTIFS('Lead Log'!$C$5:$C$200,$B13,'Lead Log'!$G$5:$G$200,"&lt;=5")/C13,0)</f>
        <v>0</v>
      </c>
      <c r="F13" s="19">
        <f>COUNTIFS('Lead Log'!$C$5:$C$200,$B13,'Lead Log'!$I$5:$I$200,"Yes")</f>
        <v>0</v>
      </c>
      <c r="G13" s="28">
        <f t="shared" si="0"/>
        <v>0</v>
      </c>
    </row>
    <row r="14" spans="1:7" x14ac:dyDescent="0.25">
      <c r="B14" s="29" t="s">
        <v>111</v>
      </c>
      <c r="C14" s="30">
        <f>SUM(C6:C13)</f>
        <v>30</v>
      </c>
      <c r="D14" s="31">
        <f>IFERROR(ROUND(AVERAGE('Lead Log'!$G$5:$G$200),1),0)</f>
        <v>77.5</v>
      </c>
      <c r="E14" s="32">
        <f>IFERROR(COUNTIFS('Lead Log'!$G$5:$G$200,"&lt;=5")/COUNT('Lead Log'!$G$5:$G$200),0)</f>
        <v>0.1</v>
      </c>
      <c r="F14" s="30">
        <f>SUM(F6:F13)</f>
        <v>6</v>
      </c>
      <c r="G14" s="32">
        <f t="shared" si="0"/>
        <v>0.2</v>
      </c>
    </row>
    <row r="34" spans="2:7" ht="15" customHeight="1" x14ac:dyDescent="0.25">
      <c r="B34" s="53" t="s">
        <v>112</v>
      </c>
      <c r="C34" s="53"/>
      <c r="D34" s="53"/>
      <c r="E34" s="53"/>
      <c r="F34" s="53"/>
      <c r="G34" s="53"/>
    </row>
  </sheetData>
  <mergeCells count="3">
    <mergeCell ref="A1:G1"/>
    <mergeCell ref="A2:G2"/>
    <mergeCell ref="B34:G34"/>
  </mergeCells>
  <pageMargins left="0.3" right="0.3" top="0.4" bottom="0.4" header="0.511811023622047" footer="0.511811023622047"/>
  <pageSetup fitToHeight="0" orientation="landscape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showGridLines="0" zoomScaleNormal="100" workbookViewId="0">
      <selection activeCell="C18" sqref="C18"/>
    </sheetView>
  </sheetViews>
  <sheetFormatPr defaultColWidth="8.7109375" defaultRowHeight="15" x14ac:dyDescent="0.25"/>
  <cols>
    <col min="1" max="1" width="3" customWidth="1"/>
    <col min="2" max="2" width="27.28515625" customWidth="1"/>
    <col min="3" max="3" width="25.85546875" customWidth="1"/>
    <col min="4" max="4" width="24.42578125" customWidth="1"/>
    <col min="5" max="6" width="22.85546875" customWidth="1"/>
    <col min="7" max="7" width="39.5703125" customWidth="1"/>
    <col min="8" max="8" width="3" customWidth="1"/>
  </cols>
  <sheetData>
    <row r="1" spans="1:7" ht="33.75" customHeight="1" x14ac:dyDescent="0.25">
      <c r="A1" s="51" t="s">
        <v>113</v>
      </c>
      <c r="B1" s="51"/>
      <c r="C1" s="51"/>
      <c r="D1" s="51"/>
      <c r="E1" s="51"/>
      <c r="F1" s="51"/>
      <c r="G1" s="51"/>
    </row>
    <row r="2" spans="1:7" ht="19.5" customHeight="1" x14ac:dyDescent="0.25">
      <c r="A2" s="52" t="s">
        <v>114</v>
      </c>
      <c r="B2" s="52"/>
      <c r="C2" s="52"/>
      <c r="D2" s="52"/>
      <c r="E2" s="52"/>
      <c r="F2" s="52"/>
      <c r="G2" s="52"/>
    </row>
    <row r="3" spans="1:7" ht="3.75" customHeight="1" x14ac:dyDescent="0.25">
      <c r="A3" s="1"/>
      <c r="B3" s="1"/>
      <c r="C3" s="1"/>
      <c r="D3" s="1"/>
      <c r="E3" s="1"/>
      <c r="F3" s="1"/>
      <c r="G3" s="1"/>
    </row>
    <row r="5" spans="1:7" ht="30" customHeight="1" x14ac:dyDescent="0.25">
      <c r="B5" s="9" t="s">
        <v>46</v>
      </c>
      <c r="C5" s="9" t="s">
        <v>47</v>
      </c>
      <c r="D5" s="9" t="s">
        <v>115</v>
      </c>
      <c r="E5" s="9" t="s">
        <v>116</v>
      </c>
      <c r="F5" s="9" t="s">
        <v>117</v>
      </c>
      <c r="G5" s="9" t="s">
        <v>49</v>
      </c>
    </row>
    <row r="6" spans="1:7" x14ac:dyDescent="0.25">
      <c r="B6" s="27" t="s">
        <v>63</v>
      </c>
      <c r="C6" s="21">
        <f>IFERROR(ROUND(AVERAGEIF('Lead Log'!$F$5:$F$200,$B6,'Lead Log'!$G$5:$G$200),1),"")</f>
        <v>47.5</v>
      </c>
      <c r="D6" s="33">
        <f t="array" ref="D6">IFERROR(MIN(IF('Lead Log'!$F$5:$F$200=$B6,'Lead Log'!$G$5:$G$200)),"")</f>
        <v>13</v>
      </c>
      <c r="E6" s="33">
        <f t="array" ref="E6">IFERROR(MAX(IF('Lead Log'!$F$5:$F$200=$B6,'Lead Log'!$G$5:$G$200)),"")</f>
        <v>69</v>
      </c>
      <c r="F6" s="19">
        <f>COUNTIF('Lead Log'!$F$5:$F$200,$B6)</f>
        <v>4</v>
      </c>
      <c r="G6" s="28">
        <f>IFERROR(COUNTIFS('Lead Log'!$F$5:$F$200,$B6,'Lead Log'!$I$5:$I$200,"Yes")/F6,0)</f>
        <v>0.25</v>
      </c>
    </row>
    <row r="7" spans="1:7" x14ac:dyDescent="0.25">
      <c r="B7" s="27" t="s">
        <v>68</v>
      </c>
      <c r="C7" s="21">
        <f>IFERROR(ROUND(AVERAGEIF('Lead Log'!$F$5:$F$200,$B7,'Lead Log'!$G$5:$G$200),1),"")</f>
        <v>85.1</v>
      </c>
      <c r="D7" s="33">
        <f t="array" ref="D7">IFERROR(MIN(IF('Lead Log'!$F$5:$F$200=$B7,'Lead Log'!$G$5:$G$200)),"")</f>
        <v>4</v>
      </c>
      <c r="E7" s="33">
        <f t="array" ref="E7">IFERROR(MAX(IF('Lead Log'!$F$5:$F$200=$B7,'Lead Log'!$G$5:$G$200)),"")</f>
        <v>205</v>
      </c>
      <c r="F7" s="19">
        <f>COUNTIF('Lead Log'!$F$5:$F$200,$B7)</f>
        <v>7</v>
      </c>
      <c r="G7" s="28">
        <f>IFERROR(COUNTIFS('Lead Log'!$F$5:$F$200,$B7,'Lead Log'!$I$5:$I$200,"Yes")/F7,0)</f>
        <v>0.2857142857142857</v>
      </c>
    </row>
    <row r="8" spans="1:7" x14ac:dyDescent="0.25">
      <c r="B8" s="27" t="s">
        <v>75</v>
      </c>
      <c r="C8" s="21">
        <f>IFERROR(ROUND(AVERAGEIF('Lead Log'!$F$5:$F$200,$B8,'Lead Log'!$G$5:$G$200),1),"")</f>
        <v>91.5</v>
      </c>
      <c r="D8" s="33">
        <f t="array" ref="D8">IFERROR(MIN(IF('Lead Log'!$F$5:$F$200=$B8,'Lead Log'!$G$5:$G$200)),"")</f>
        <v>3</v>
      </c>
      <c r="E8" s="33">
        <f t="array" ref="E8">IFERROR(MAX(IF('Lead Log'!$F$5:$F$200=$B8,'Lead Log'!$G$5:$G$200)),"")</f>
        <v>236</v>
      </c>
      <c r="F8" s="19">
        <f>COUNTIF('Lead Log'!$F$5:$F$200,$B8)</f>
        <v>6</v>
      </c>
      <c r="G8" s="28">
        <f>IFERROR(COUNTIFS('Lead Log'!$F$5:$F$200,$B8,'Lead Log'!$I$5:$I$200,"Yes")/F8,0)</f>
        <v>0.16666666666666666</v>
      </c>
    </row>
    <row r="9" spans="1:7" x14ac:dyDescent="0.25">
      <c r="B9" s="27" t="s">
        <v>79</v>
      </c>
      <c r="C9" s="21">
        <f>IFERROR(ROUND(AVERAGEIF('Lead Log'!$F$5:$F$200,$B9,'Lead Log'!$G$5:$G$200),1),"")</f>
        <v>144.5</v>
      </c>
      <c r="D9" s="33">
        <f t="array" ref="D9">IFERROR(MIN(IF('Lead Log'!$F$5:$F$200=$B9,'Lead Log'!$G$5:$G$200)),"")</f>
        <v>78</v>
      </c>
      <c r="E9" s="33">
        <f t="array" ref="E9">IFERROR(MAX(IF('Lead Log'!$F$5:$F$200=$B9,'Lead Log'!$G$5:$G$200)),"")</f>
        <v>239</v>
      </c>
      <c r="F9" s="19">
        <f>COUNTIF('Lead Log'!$F$5:$F$200,$B9)</f>
        <v>4</v>
      </c>
      <c r="G9" s="28">
        <f>IFERROR(COUNTIFS('Lead Log'!$F$5:$F$200,$B9,'Lead Log'!$I$5:$I$200,"Yes")/F9,0)</f>
        <v>0</v>
      </c>
    </row>
    <row r="10" spans="1:7" x14ac:dyDescent="0.25">
      <c r="B10" s="27" t="s">
        <v>66</v>
      </c>
      <c r="C10" s="21">
        <f>IFERROR(ROUND(AVERAGEIF('Lead Log'!$F$5:$F$200,$B10,'Lead Log'!$G$5:$G$200),1),"")</f>
        <v>45.8</v>
      </c>
      <c r="D10" s="33">
        <f t="array" ref="D10">IFERROR(MIN(IF('Lead Log'!$F$5:$F$200=$B10,'Lead Log'!$G$5:$G$200)),"")</f>
        <v>3</v>
      </c>
      <c r="E10" s="33">
        <f t="array" ref="E10">IFERROR(MAX(IF('Lead Log'!$F$5:$F$200=$B10,'Lead Log'!$G$5:$G$200)),"")</f>
        <v>139</v>
      </c>
      <c r="F10" s="19">
        <f>COUNTIF('Lead Log'!$F$5:$F$200,$B10)</f>
        <v>9</v>
      </c>
      <c r="G10" s="28">
        <f>IFERROR(COUNTIFS('Lead Log'!$F$5:$F$200,$B10,'Lead Log'!$I$5:$I$200,"Yes")/F10,0)</f>
        <v>0.22222222222222221</v>
      </c>
    </row>
    <row r="12" spans="1:7" x14ac:dyDescent="0.25">
      <c r="B12" s="29" t="s">
        <v>118</v>
      </c>
      <c r="C12" s="31">
        <f>IFERROR(ROUND(AVERAGE(C6:C10),1),0)</f>
        <v>82.9</v>
      </c>
      <c r="D12" s="30"/>
      <c r="E12" s="30"/>
      <c r="F12" s="30">
        <f>SUM(F6:F10)</f>
        <v>30</v>
      </c>
      <c r="G12" s="32">
        <f>IFERROR(AVERAGE(G6:G10),0)</f>
        <v>0.1849206349206349</v>
      </c>
    </row>
    <row r="15" spans="1:7" ht="31.5" customHeight="1" x14ac:dyDescent="0.25">
      <c r="B15" s="53" t="s">
        <v>119</v>
      </c>
      <c r="C15" s="53"/>
      <c r="D15" s="53"/>
      <c r="E15" s="53"/>
      <c r="F15" s="53"/>
      <c r="G15" s="53"/>
    </row>
  </sheetData>
  <mergeCells count="3">
    <mergeCell ref="A1:G1"/>
    <mergeCell ref="A2:G2"/>
    <mergeCell ref="B15:G15"/>
  </mergeCells>
  <conditionalFormatting sqref="C6:C10">
    <cfRule type="cellIs" dxfId="2" priority="2" operator="lessThanOrEqual">
      <formula>5</formula>
    </cfRule>
    <cfRule type="cellIs" dxfId="1" priority="3" operator="between">
      <formula>5.01</formula>
      <formula>30</formula>
    </cfRule>
    <cfRule type="cellIs" dxfId="0" priority="4" operator="greaterThan">
      <formula>30</formula>
    </cfRule>
  </conditionalFormatting>
  <pageMargins left="0.3" right="0.3" top="0.4" bottom="0.4" header="0.511811023622047" footer="0.511811023622047"/>
  <pageSetup fitToHeight="0" orientation="landscape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"/>
  <sheetViews>
    <sheetView showGridLines="0" zoomScaleNormal="100" workbookViewId="0">
      <selection sqref="A1:F1"/>
    </sheetView>
  </sheetViews>
  <sheetFormatPr defaultColWidth="8.7109375" defaultRowHeight="15" x14ac:dyDescent="0.25"/>
  <cols>
    <col min="1" max="1" width="3" customWidth="1"/>
    <col min="2" max="2" width="46" customWidth="1"/>
    <col min="3" max="3" width="18" customWidth="1"/>
    <col min="4" max="4" width="4" customWidth="1"/>
    <col min="5" max="5" width="38" customWidth="1"/>
    <col min="6" max="6" width="18" customWidth="1"/>
    <col min="7" max="7" width="3" customWidth="1"/>
  </cols>
  <sheetData>
    <row r="1" spans="1:6" ht="33.75" customHeight="1" x14ac:dyDescent="0.25">
      <c r="A1" s="51" t="s">
        <v>120</v>
      </c>
      <c r="B1" s="51"/>
      <c r="C1" s="51"/>
      <c r="D1" s="51"/>
      <c r="E1" s="51"/>
      <c r="F1" s="51"/>
    </row>
    <row r="2" spans="1:6" ht="19.5" customHeight="1" x14ac:dyDescent="0.25">
      <c r="A2" s="52" t="s">
        <v>121</v>
      </c>
      <c r="B2" s="52"/>
      <c r="C2" s="52"/>
      <c r="D2" s="52"/>
      <c r="E2" s="52"/>
      <c r="F2" s="52"/>
    </row>
    <row r="3" spans="1:6" ht="3.75" customHeight="1" x14ac:dyDescent="0.25">
      <c r="A3" s="1"/>
      <c r="B3" s="1"/>
      <c r="C3" s="1"/>
      <c r="D3" s="1"/>
      <c r="E3" s="1"/>
      <c r="F3" s="1"/>
    </row>
    <row r="5" spans="1:6" ht="15.75" x14ac:dyDescent="0.25">
      <c r="B5" s="55" t="s">
        <v>122</v>
      </c>
      <c r="C5" s="55"/>
    </row>
    <row r="6" spans="1:6" x14ac:dyDescent="0.25">
      <c r="B6" s="34" t="s">
        <v>123</v>
      </c>
      <c r="C6" s="35">
        <v>9000</v>
      </c>
    </row>
    <row r="7" spans="1:6" x14ac:dyDescent="0.25">
      <c r="B7" s="34" t="s">
        <v>124</v>
      </c>
      <c r="C7" s="36">
        <v>120</v>
      </c>
    </row>
    <row r="8" spans="1:6" x14ac:dyDescent="0.25">
      <c r="B8" s="34" t="s">
        <v>125</v>
      </c>
      <c r="C8" s="37">
        <v>0.32</v>
      </c>
    </row>
    <row r="9" spans="1:6" x14ac:dyDescent="0.25">
      <c r="B9" s="34" t="s">
        <v>126</v>
      </c>
      <c r="C9" s="37">
        <v>0.21</v>
      </c>
    </row>
    <row r="10" spans="1:6" x14ac:dyDescent="0.25">
      <c r="B10" s="34" t="s">
        <v>127</v>
      </c>
      <c r="C10" s="37">
        <v>0.09</v>
      </c>
    </row>
    <row r="12" spans="1:6" ht="15.75" x14ac:dyDescent="0.25">
      <c r="B12" s="55" t="s">
        <v>128</v>
      </c>
      <c r="C12" s="55"/>
    </row>
    <row r="13" spans="1:6" x14ac:dyDescent="0.25">
      <c r="B13" s="34" t="s">
        <v>129</v>
      </c>
      <c r="C13" s="38">
        <f>COUNTIFS('Lead Log'!$G$5:$G$200,"&lt;=5")</f>
        <v>3</v>
      </c>
    </row>
    <row r="14" spans="1:6" x14ac:dyDescent="0.25">
      <c r="B14" s="34" t="s">
        <v>130</v>
      </c>
      <c r="C14" s="38">
        <f>COUNTIFS('Lead Log'!$G$5:$G$200,"&gt;5",'Lead Log'!$G$5:$G$200,"&lt;=30")</f>
        <v>9</v>
      </c>
    </row>
    <row r="15" spans="1:6" x14ac:dyDescent="0.25">
      <c r="B15" s="34" t="s">
        <v>131</v>
      </c>
      <c r="C15" s="38">
        <f>COUNTIFS('Lead Log'!$G$5:$G$200,"&gt;30")</f>
        <v>18</v>
      </c>
    </row>
    <row r="17" spans="2:6" ht="21.75" customHeight="1" x14ac:dyDescent="0.25">
      <c r="B17" s="56" t="s">
        <v>132</v>
      </c>
      <c r="C17" s="56"/>
    </row>
    <row r="18" spans="2:6" x14ac:dyDescent="0.25">
      <c r="B18" s="34" t="s">
        <v>133</v>
      </c>
      <c r="C18" s="39">
        <f>ROUND(C13*C8+C14*C9+C15*C10,1)</f>
        <v>4.5</v>
      </c>
    </row>
    <row r="19" spans="2:6" x14ac:dyDescent="0.25">
      <c r="B19" s="34" t="s">
        <v>134</v>
      </c>
      <c r="C19" s="39">
        <f>ROUND((C13+C14+C15)*C8,1)</f>
        <v>9.6</v>
      </c>
    </row>
    <row r="20" spans="2:6" x14ac:dyDescent="0.25">
      <c r="B20" s="40" t="s">
        <v>135</v>
      </c>
      <c r="C20" s="41">
        <f>MAX(0,ROUND(C19-C18,1))</f>
        <v>5.0999999999999996</v>
      </c>
    </row>
    <row r="21" spans="2:6" ht="30" customHeight="1" x14ac:dyDescent="0.35">
      <c r="B21" s="42" t="s">
        <v>136</v>
      </c>
      <c r="C21" s="43">
        <f>ROUND(C20*C6,0)</f>
        <v>45900</v>
      </c>
    </row>
    <row r="22" spans="2:6" ht="17.25" x14ac:dyDescent="0.3">
      <c r="B22" s="44" t="s">
        <v>137</v>
      </c>
      <c r="C22" s="45">
        <f>C21*12</f>
        <v>550800</v>
      </c>
    </row>
    <row r="24" spans="2:6" x14ac:dyDescent="0.25">
      <c r="B24" s="46" t="s">
        <v>138</v>
      </c>
    </row>
    <row r="25" spans="2:6" ht="15" customHeight="1" x14ac:dyDescent="0.25">
      <c r="B25" s="53" t="s">
        <v>139</v>
      </c>
      <c r="C25" s="53"/>
      <c r="D25" s="53"/>
      <c r="E25" s="53"/>
      <c r="F25" s="53"/>
    </row>
    <row r="26" spans="2:6" ht="15" customHeight="1" x14ac:dyDescent="0.25">
      <c r="B26" s="53" t="s">
        <v>140</v>
      </c>
      <c r="C26" s="53"/>
      <c r="D26" s="53"/>
      <c r="E26" s="53"/>
      <c r="F26" s="53"/>
    </row>
    <row r="27" spans="2:6" ht="15" customHeight="1" x14ac:dyDescent="0.25">
      <c r="B27" s="53" t="s">
        <v>141</v>
      </c>
      <c r="C27" s="53"/>
      <c r="D27" s="53"/>
      <c r="E27" s="53"/>
      <c r="F27" s="53"/>
    </row>
    <row r="29" spans="2:6" x14ac:dyDescent="0.25">
      <c r="B29" s="54" t="s">
        <v>142</v>
      </c>
      <c r="C29" s="54"/>
      <c r="D29" s="54"/>
      <c r="E29" s="54"/>
      <c r="F29" s="54"/>
    </row>
  </sheetData>
  <mergeCells count="9">
    <mergeCell ref="B25:F25"/>
    <mergeCell ref="B26:F26"/>
    <mergeCell ref="B27:F27"/>
    <mergeCell ref="B29:F29"/>
    <mergeCell ref="A1:F1"/>
    <mergeCell ref="A2:F2"/>
    <mergeCell ref="B5:C5"/>
    <mergeCell ref="B12:C12"/>
    <mergeCell ref="B17:C17"/>
  </mergeCells>
  <pageMargins left="0.3" right="0.3" top="0.4" bottom="0.4" header="0.511811023622047" footer="0.511811023622047"/>
  <pageSetup fitToHeight="0" orientation="landscape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showGridLines="0" zoomScaleNormal="100" workbookViewId="0">
      <selection sqref="A1:C1"/>
    </sheetView>
  </sheetViews>
  <sheetFormatPr defaultColWidth="8.7109375" defaultRowHeight="15" x14ac:dyDescent="0.25"/>
  <cols>
    <col min="1" max="1" width="3" customWidth="1"/>
    <col min="2" max="2" width="68.85546875" customWidth="1"/>
    <col min="3" max="3" width="81.7109375" customWidth="1"/>
    <col min="4" max="4" width="3" customWidth="1"/>
  </cols>
  <sheetData>
    <row r="1" spans="1:3" ht="33.75" customHeight="1" x14ac:dyDescent="0.25">
      <c r="A1" s="51" t="s">
        <v>143</v>
      </c>
      <c r="B1" s="51"/>
      <c r="C1" s="51"/>
    </row>
    <row r="2" spans="1:3" ht="19.5" customHeight="1" x14ac:dyDescent="0.25">
      <c r="A2" s="52" t="s">
        <v>144</v>
      </c>
      <c r="B2" s="52"/>
      <c r="C2" s="52"/>
    </row>
    <row r="3" spans="1:3" ht="3.75" customHeight="1" x14ac:dyDescent="0.25">
      <c r="A3" s="1"/>
      <c r="B3" s="1"/>
      <c r="C3" s="1"/>
    </row>
    <row r="5" spans="1:3" ht="21.75" customHeight="1" x14ac:dyDescent="0.25">
      <c r="B5" s="9" t="s">
        <v>145</v>
      </c>
      <c r="C5" s="9" t="s">
        <v>146</v>
      </c>
    </row>
    <row r="6" spans="1:3" ht="48" customHeight="1" x14ac:dyDescent="0.25">
      <c r="B6" s="47" t="s">
        <v>147</v>
      </c>
      <c r="C6" s="48" t="s">
        <v>148</v>
      </c>
    </row>
    <row r="7" spans="1:3" ht="48" customHeight="1" x14ac:dyDescent="0.25">
      <c r="B7" s="49" t="s">
        <v>149</v>
      </c>
      <c r="C7" s="50" t="s">
        <v>150</v>
      </c>
    </row>
    <row r="8" spans="1:3" ht="48" customHeight="1" x14ac:dyDescent="0.25">
      <c r="B8" s="47" t="s">
        <v>151</v>
      </c>
      <c r="C8" s="48" t="s">
        <v>152</v>
      </c>
    </row>
    <row r="9" spans="1:3" ht="48" customHeight="1" x14ac:dyDescent="0.25">
      <c r="B9" s="49" t="s">
        <v>153</v>
      </c>
      <c r="C9" s="50" t="s">
        <v>148</v>
      </c>
    </row>
    <row r="10" spans="1:3" ht="48" customHeight="1" x14ac:dyDescent="0.25">
      <c r="B10" s="47" t="s">
        <v>154</v>
      </c>
      <c r="C10" s="48" t="s">
        <v>155</v>
      </c>
    </row>
    <row r="11" spans="1:3" ht="48" customHeight="1" x14ac:dyDescent="0.25">
      <c r="B11" s="49" t="s">
        <v>156</v>
      </c>
      <c r="C11" s="50" t="s">
        <v>155</v>
      </c>
    </row>
    <row r="12" spans="1:3" ht="48" customHeight="1" x14ac:dyDescent="0.25">
      <c r="B12" s="47" t="s">
        <v>157</v>
      </c>
      <c r="C12" s="48" t="s">
        <v>155</v>
      </c>
    </row>
    <row r="14" spans="1:3" x14ac:dyDescent="0.25">
      <c r="B14" s="46" t="s">
        <v>158</v>
      </c>
    </row>
    <row r="15" spans="1:3" ht="15" customHeight="1" x14ac:dyDescent="0.25">
      <c r="B15" s="53" t="s">
        <v>159</v>
      </c>
      <c r="C15" s="53"/>
    </row>
    <row r="16" spans="1:3" ht="15" customHeight="1" x14ac:dyDescent="0.25">
      <c r="B16" s="53" t="s">
        <v>160</v>
      </c>
      <c r="C16" s="53"/>
    </row>
    <row r="17" spans="2:3" ht="15" customHeight="1" x14ac:dyDescent="0.25">
      <c r="B17" s="53" t="s">
        <v>161</v>
      </c>
      <c r="C17" s="53"/>
    </row>
    <row r="18" spans="2:3" ht="15" customHeight="1" x14ac:dyDescent="0.25">
      <c r="B18" s="53" t="s">
        <v>162</v>
      </c>
      <c r="C18" s="53"/>
    </row>
    <row r="20" spans="2:3" x14ac:dyDescent="0.25">
      <c r="B20" s="54" t="s">
        <v>163</v>
      </c>
      <c r="C20" s="54"/>
    </row>
  </sheetData>
  <mergeCells count="7">
    <mergeCell ref="B18:C18"/>
    <mergeCell ref="B20:C20"/>
    <mergeCell ref="A1:C1"/>
    <mergeCell ref="A2:C2"/>
    <mergeCell ref="B15:C15"/>
    <mergeCell ref="B16:C16"/>
    <mergeCell ref="B17:C17"/>
  </mergeCells>
  <pageMargins left="0.3" right="0.3" top="0.4" bottom="0.4" header="0.511811023622047" footer="0.511811023622047"/>
  <pageSetup fitToHeight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Read Me First</vt:lpstr>
      <vt:lpstr>Dashboard</vt:lpstr>
      <vt:lpstr>Lead Log</vt:lpstr>
      <vt:lpstr>Source Breakdown</vt:lpstr>
      <vt:lpstr>Agent Scorecard</vt:lpstr>
      <vt:lpstr>Cost of Delay Calculator</vt:lpstr>
      <vt:lpstr>Benchmark Reference</vt:lpstr>
      <vt:lpstr>'Agent Scorecard'!Print_Area</vt:lpstr>
      <vt:lpstr>'Benchmark Reference'!Print_Area</vt:lpstr>
      <vt:lpstr>'Cost of Delay Calculator'!Print_Area</vt:lpstr>
      <vt:lpstr>Dashboard!Print_Area</vt:lpstr>
      <vt:lpstr>'Lead Log'!Print_Area</vt:lpstr>
      <vt:lpstr>'Read Me First'!Print_Area</vt:lpstr>
      <vt:lpstr>'Source Breakdown'!Print_Area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pc</cp:lastModifiedBy>
  <cp:revision>1</cp:revision>
  <dcterms:created xsi:type="dcterms:W3CDTF">2026-06-23T13:46:34Z</dcterms:created>
  <dcterms:modified xsi:type="dcterms:W3CDTF">2026-06-24T10:28:15Z</dcterms:modified>
  <dc:language>en-US</dc:language>
</cp:coreProperties>
</file>